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5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im.'!$A$1:$G$110</definedName>
    <definedName name="_xlnm.Print_Area" localSheetId="3">'B.rash. i izdaci za nef. im.'!$A$1:$F$57</definedName>
    <definedName name="_xlnm.Print_Area" localSheetId="4">'Finansiranje'!$A$1:$D$45</definedName>
    <definedName name="_xlnm.Print_Area" localSheetId="6">'Funkc. kl.'!$A$1:$G$22</definedName>
    <definedName name="_xlnm.Print_Area" localSheetId="1">'opsti dio'!$A$1:$E$68</definedName>
    <definedName name="_xlnm.Print_Area" localSheetId="5">'Org'!$A$1:$H$587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comments6.xml><?xml version="1.0" encoding="utf-8"?>
<comments xmlns="http://schemas.openxmlformats.org/spreadsheetml/2006/main">
  <authors>
    <author>Windows User</author>
  </authors>
  <commentList>
    <comment ref="J7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Напомињу да по Закону   у буџету општина треба издвајати 2% посебних средстава за ове намјене</t>
        </r>
      </text>
    </comment>
    <comment ref="J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130.000,00-Otpremnine zbog usklađivanja broja zaposlenih sa brojem stanovnika
50.000,00 - Jednok.pomoći</t>
        </r>
      </text>
    </comment>
    <comment ref="J55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Provjeriti period završetka realiz.kredita. Stambeno je planiralo 1.350.000,00 mil.KM real u 2023. Zbog ovoga je planirana kamata od 200.000,00 razdvojena na kamatu za real.kredit u 2022 i interk.kamatu za dio realizacije u 2023.g</t>
        </r>
      </text>
    </comment>
    <comment ref="J58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Na nivou je 2022.g.</t>
        </r>
      </text>
    </comment>
    <comment ref="J3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od 13.8.22 obračun naknade je 1,5% od pros.plate u RS za preth.god. Po korisniku. Ranije je to bilo 0,8%. Rast po dva osnova: rast pros.plate i rast %.</t>
        </r>
      </text>
    </comment>
    <comment ref="J32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250.000 tekući prihod + 10.000,00 prenos neutr.sr</t>
        </r>
      </text>
    </comment>
    <comment ref="J33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125.000,, prihod tekućeg perioda + 60.000,00 pren.neutr.sr.</t>
        </r>
      </text>
    </comment>
    <comment ref="J1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100.000,00 je prijedlog odjeljenja za rješavanje problema izbjeglica koji ma je obezbijeđen plac i usmeno dozvoljena gradnja ali zbog Odluke Visokog predstavnika SO im nikad nije izdala rješenje o dodjeli zemljišta. Procjena je da takvih ima oko 20 lica a procjena vrijednosti zemljišta je oko 7.000,00 KM). Na ovaj način tim licima bi se omogućilo upisivanje prava svojine na izgrađenom zemljištu.</t>
        </r>
      </text>
    </comment>
    <comment ref="J3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30.000,00 plan za zamjenu stolarije u objektu u Ilovoj</t>
        </r>
      </text>
    </comment>
    <comment ref="J40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računarska oprema, kolica za kuhinju,kosačica,mašina za sušenje veša, motorka za živicu. 5 klima uređaja, nabavka vozila u iznosu od 10.000,00</t>
        </r>
      </text>
    </comment>
    <comment ref="J5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Prihod od nak.za požar tekućrg perioda planiran 170.000,00 a prens.neutr.sr 250.000,00 što ukupno iznosi 420.000,00. Ovaj iznos trebalo bi planirati na rashodovnoj strani, a oni su predložili samo u visini prihoda tekućg perioda.</t>
        </r>
      </text>
    </comment>
    <comment ref="K4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за набавку медецинске опреме</t>
        </r>
      </text>
    </comment>
    <comment ref="J5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Раст пелета и повећанје трошкова због Наше продавнице</t>
        </r>
      </text>
    </comment>
    <comment ref="J50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Дошло до попуштанја мјера ковида па се у 2023 очекује више манифестација</t>
        </r>
      </text>
    </comment>
    <comment ref="J5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потрбно набавити фотографски скенер за  скенирање фотографија експоната (Завичајна збирка)</t>
        </r>
      </text>
    </comment>
    <comment ref="J5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Наша продавница- обавезе према добављачима</t>
        </r>
      </text>
    </comment>
    <comment ref="J29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5.000,00 се односи на рег.возила и 5.000,00 на уговоре о дјелу</t>
        </r>
      </text>
    </comment>
    <comment ref="J19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планира се орезивање дрвореда, посебно на градском гробљу, те садња нових садница, Цијена уклањања само једног стабла износи око 2.000,00 КМ</t>
        </r>
      </text>
    </comment>
    <comment ref="J4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Rješenjem inspektora naloženo im da izrade novi Plan zaštite od požara za šta im treba 7.000,00 KM.</t>
        </r>
      </text>
    </comment>
    <comment ref="J4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rast cijene goriva i peleta</t>
        </r>
      </text>
    </comment>
    <comment ref="J25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 obrazloženju zahtjeva naveli da se ova pozicija uveća, a sredstva bi koristili kod posjeta udruženjima i sl za kafu šečer, sok keks (poklon)</t>
        </r>
      </text>
    </comment>
    <comment ref="K48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46.000,00 za sanaciju podnih obloga u 13 učionica i 40.000,00 za sanaciju mokrih čvorova pored fiskult. Sale i svlačionice i sanitarnih čvorova u objektu. U 2022.g izvršena sanacija mokrih čvorova i čajne kuhinje u mašinskom dijelu škole iz sr. Vlade RS.</t>
        </r>
      </text>
    </comment>
    <comment ref="K1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Nova pozicija</t>
        </r>
      </text>
    </comment>
    <comment ref="J23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Procjena stamb.kom. Da se ovi projekti neće realizovati u 2022 zbog čega ih treba planirati u 2023</t>
        </r>
      </text>
    </comment>
    <comment ref="K41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Sredstva se traže za unapređenje rada Hitne pomoći (prijem 4 doktora i nabavka medec.opreme), finansiranje se traži iz sredstava opštine, pošto je ovo iznad plana prihoda Doma zdravlja.</t>
        </r>
      </text>
    </comment>
  </commentList>
</comments>
</file>

<file path=xl/sharedStrings.xml><?xml version="1.0" encoding="utf-8"?>
<sst xmlns="http://schemas.openxmlformats.org/spreadsheetml/2006/main" count="1294" uniqueCount="670">
  <si>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</si>
  <si>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</si>
  <si>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</si>
  <si>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</si>
  <si>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</si>
  <si>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</si>
  <si>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</si>
  <si>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</si>
  <si>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</si>
  <si>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</si>
  <si>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</si>
  <si>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</si>
  <si>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</si>
  <si>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</si>
  <si>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</si>
  <si>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</si>
  <si>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</si>
  <si>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</si>
  <si>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</si>
  <si>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</si>
  <si>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</si>
  <si>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</si>
  <si>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</si>
  <si>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</si>
  <si>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</si>
  <si>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</si>
  <si>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</si>
  <si>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</si>
  <si>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</si>
  <si>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</si>
  <si>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</si>
  <si>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</si>
  <si>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</si>
  <si>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</si>
  <si>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</si>
  <si>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</si>
  <si>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</si>
  <si>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</si>
  <si>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</si>
  <si>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</si>
  <si>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</si>
  <si>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</si>
  <si>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</si>
  <si>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</si>
  <si>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</si>
  <si>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</si>
  <si>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</si>
  <si>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</si>
  <si>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</si>
  <si>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</si>
  <si>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</si>
  <si>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</si>
  <si>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</si>
  <si>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</si>
  <si>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</si>
  <si>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</si>
  <si>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</si>
  <si>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</si>
  <si>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</si>
  <si>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</si>
  <si>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</si>
  <si>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</si>
  <si>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</si>
  <si>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</si>
  <si>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</si>
  <si>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</si>
  <si>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</si>
  <si>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</si>
  <si>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</si>
  <si>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</si>
  <si>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</si>
  <si>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</si>
  <si>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</si>
  <si>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</si>
  <si>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</si>
  <si>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</si>
  <si>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</si>
  <si>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</si>
  <si>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</si>
  <si>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</si>
  <si>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</si>
  <si>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</si>
  <si>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</si>
  <si>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</si>
  <si>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</si>
  <si>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</si>
  <si>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</si>
  <si>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</si>
  <si>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</si>
  <si>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</si>
  <si>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</si>
  <si>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</si>
  <si>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</si>
  <si>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</si>
  <si>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</si>
  <si>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</si>
  <si>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</si>
  <si>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</si>
  <si>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</si>
  <si>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</si>
  <si>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</si>
  <si>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</si>
  <si>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</si>
  <si>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</si>
  <si>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</si>
  <si>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</si>
  <si>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</si>
  <si>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</si>
  <si>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</si>
  <si>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</si>
  <si>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</si>
  <si>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</si>
  <si>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</si>
  <si>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</si>
  <si>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</si>
  <si>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</si>
  <si>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</si>
  <si>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</si>
  <si>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</si>
  <si>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</si>
  <si>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</si>
  <si>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</si>
  <si>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</si>
  <si>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</si>
  <si>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</si>
  <si>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</si>
  <si>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</si>
  <si>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</si>
  <si>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</si>
  <si>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</si>
  <si>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</si>
  <si>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</si>
  <si>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</si>
  <si>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</si>
  <si>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</si>
  <si>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</si>
  <si>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</si>
  <si>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</si>
  <si>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</si>
  <si>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</si>
  <si>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</si>
  <si>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</si>
  <si>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</si>
  <si>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</si>
  <si>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</si>
  <si>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</si>
  <si>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</si>
  <si>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</si>
  <si>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</si>
  <si>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</si>
  <si>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</si>
  <si>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</si>
  <si>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</si>
  <si>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</si>
  <si>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</si>
  <si>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</si>
  <si>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</si>
  <si>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</si>
  <si>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</si>
  <si>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</si>
  <si>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</si>
  <si>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</si>
  <si>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</si>
  <si>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</si>
  <si>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</si>
  <si>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</si>
  <si>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</si>
  <si>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</si>
  <si>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Субвенције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</si>
  <si>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</si>
  <si>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</si>
  <si>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</si>
  <si>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</si>
  <si>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</si>
  <si>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</si>
  <si>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</si>
  <si>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</si>
  <si>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</si>
  <si>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</si>
  <si>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</si>
  <si>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</si>
  <si>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</si>
  <si>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</si>
  <si>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</si>
  <si>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</si>
  <si>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</si>
  <si>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</si>
  <si>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</si>
  <si>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</si>
  <si>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</si>
  <si>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</si>
  <si>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</si>
  <si>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</si>
  <si>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</si>
  <si>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</si>
  <si>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</si>
  <si>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</si>
  <si>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</si>
  <si>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</si>
  <si>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</si>
  <si>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</si>
  <si>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</si>
  <si>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</si>
  <si>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</si>
  <si>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</si>
  <si>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</si>
  <si>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</si>
  <si>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</si>
  <si>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</si>
  <si>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</si>
  <si>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</si>
  <si>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</si>
  <si>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</si>
  <si>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</si>
  <si>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</si>
  <si>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</si>
  <si>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</si>
  <si>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</si>
  <si>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</si>
  <si>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</si>
  <si>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</si>
  <si>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</si>
  <si>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</si>
  <si>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</si>
  <si>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</si>
  <si>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</si>
  <si>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</si>
  <si>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</si>
  <si>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</si>
  <si>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</si>
  <si>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</si>
  <si>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</si>
  <si>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</si>
  <si>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</si>
  <si>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</si>
  <si>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</si>
  <si>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</si>
  <si>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</si>
  <si>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</si>
  <si>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</si>
  <si>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</si>
  <si>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</si>
  <si>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</si>
  <si>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</si>
  <si>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</si>
  <si>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</si>
  <si>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</si>
  <si>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</si>
  <si>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</si>
  <si>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</si>
  <si>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</si>
  <si>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</si>
  <si>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</si>
  <si>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</si>
  <si>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</si>
  <si>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</si>
  <si>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</si>
  <si>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</si>
  <si>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</si>
  <si>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</si>
  <si>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</si>
  <si>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</si>
  <si>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</si>
  <si>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</si>
  <si>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</si>
  <si>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</si>
  <si>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</si>
  <si>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0422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</si>
  <si>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</si>
  <si>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</si>
  <si>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</si>
  <si>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</si>
  <si>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</si>
  <si>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</si>
  <si>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</si>
  <si>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</si>
  <si>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</si>
  <si>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</si>
  <si>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</si>
  <si>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</si>
  <si>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</si>
  <si>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</si>
  <si>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</si>
  <si>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</si>
  <si>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</si>
  <si>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</si>
  <si>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</si>
  <si>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</si>
  <si>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</si>
  <si>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</si>
  <si>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</si>
  <si>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</si>
  <si>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</si>
  <si>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</si>
  <si>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</si>
  <si>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</si>
  <si>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</si>
  <si>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</si>
  <si>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</si>
  <si>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</si>
  <si>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</si>
  <si>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</si>
  <si>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</si>
  <si>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</si>
  <si>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</si>
  <si>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</si>
  <si>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</si>
  <si>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</si>
  <si>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</si>
  <si>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</si>
  <si>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</si>
  <si>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</si>
  <si>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</si>
  <si>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</si>
  <si>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</si>
  <si>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</si>
  <si>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</si>
  <si>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</si>
  <si>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</si>
  <si>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</si>
  <si>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</si>
  <si>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</si>
  <si>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</si>
  <si>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</si>
  <si>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</si>
  <si>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</si>
  <si>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Остали непоменути расходи - припрема дјеце за полазак у школу из дозначене помоћи Министарства просвјете и културе РС</t>
  </si>
  <si>
    <t>Расходи по основу судских рјешења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</si>
  <si>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</si>
  <si>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</si>
  <si>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</si>
  <si>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</si>
  <si>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</si>
  <si>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</si>
  <si>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</si>
  <si>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</si>
  <si>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</si>
  <si>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</si>
  <si>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</si>
  <si>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</si>
  <si>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</si>
  <si>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</si>
  <si>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</si>
  <si>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</si>
  <si>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</si>
  <si>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</si>
  <si>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</si>
  <si>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</si>
  <si>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</si>
  <si>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</si>
  <si>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</si>
  <si>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</si>
  <si>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</si>
  <si>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</si>
  <si>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</si>
  <si>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</si>
  <si>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</si>
  <si>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</si>
  <si>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</si>
  <si>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</si>
  <si>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</si>
  <si>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</si>
  <si>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</si>
  <si>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</si>
  <si>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</si>
  <si>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</si>
  <si>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</si>
  <si>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</si>
  <si>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</si>
  <si>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</si>
  <si>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</si>
  <si>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</si>
  <si>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</si>
  <si>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</si>
  <si>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</si>
  <si>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</si>
  <si>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</si>
  <si>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</si>
  <si>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</si>
  <si>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Накнаде за воде - посебне водне накнаде 
(722442-722448, 722457, 722463, 722464, 722465, 722469)</t>
  </si>
  <si>
    <t>Расходи за накнаду плата запослених за вријеме боловања, родитељског одсуства и осталих накнада плата</t>
  </si>
  <si>
    <t>Расходи финансирања, други финансијски трошкови и расходи трансакција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</si>
  <si>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</si>
  <si>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</si>
  <si>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</si>
  <si>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Накнаде за личну инвалиднину из средстава Министарства здравља и социјалне заштите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</si>
  <si>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</si>
  <si>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</si>
  <si>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</si>
  <si>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</si>
  <si>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</si>
  <si>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</si>
  <si>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</si>
  <si>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</si>
  <si>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</si>
  <si>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</si>
  <si>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</si>
  <si>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</si>
  <si>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</si>
  <si>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Расходи за материјал за текуће одржавање</t>
  </si>
  <si>
    <t>Обиљежавање Риболовног купа  РВИ</t>
  </si>
  <si>
    <t>Подка-
тегорија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</si>
  <si>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</si>
  <si>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</si>
  <si>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</si>
  <si>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Укупни расходи за потрошачку
 јединицу бр.  00750126</t>
  </si>
  <si>
    <t>Средства за трошкове обиљежавања значајних датума (за трошкове вијенаца, цвијећа, свијећа и др.)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</si>
  <si>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</si>
  <si>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</si>
  <si>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</si>
  <si>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Једнократна новчана помоћ комуналним полицајцима из средстава Фонда солидарности за обнову РС</t>
  </si>
  <si>
    <t>Неутрошена намјенска средства из 2019. године - трансфер Републичког секретеријата за расељена лица и миграције за изградњу улице Милана Тепића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</si>
  <si>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</si>
  <si>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</si>
  <si>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</si>
  <si>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</si>
  <si>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</si>
  <si>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Неутрошена намјенска средства из 2019. године - грант Савјета Европе за пројекат "Промоција  за изградњу канализационе мреже по пројекту ROMACTED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</si>
  <si>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</si>
  <si>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</si>
  <si>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Субвенционисање комуналних такса  за истицање пословног имена</t>
  </si>
  <si>
    <t>Трансфери унутар исте јединице власти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</si>
  <si>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</si>
  <si>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</si>
  <si>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</si>
  <si>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</si>
  <si>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</si>
  <si>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</si>
  <si>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</si>
  <si>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</si>
  <si>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</si>
  <si>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ЈП " Радио Прњавор "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</si>
  <si>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</si>
  <si>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</si>
  <si>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Борачка организација општине Прњавор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</si>
  <si>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10"/>
        <rFont val="Times New Roman"/>
        <family val="1"/>
      </rPr>
      <t>буџетска резерва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</si>
  <si>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</si>
  <si>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</si>
  <si>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</si>
  <si>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 xml:space="preserve">Расходи за стручне услуге Центра за културу - </t>
    </r>
    <r>
      <rPr>
        <b/>
        <sz val="10"/>
        <rFont val="Times New Roman"/>
        <family val="1"/>
      </rPr>
      <t>буџетска резерва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</si>
  <si>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</si>
  <si>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</si>
  <si>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</si>
  <si>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Омладински центар Прњавор</t>
  </si>
  <si>
    <t>Накнаде члановима комисија</t>
  </si>
  <si>
    <t>Трошкови првостепених стручних комисија</t>
  </si>
  <si>
    <t>Примици од продаје стамбених објеката</t>
  </si>
  <si>
    <t>Финансирање "Родитељске куће"</t>
  </si>
  <si>
    <t>1011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</si>
  <si>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</si>
  <si>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</si>
  <si>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t>Капиталне инвестиције из кредитних средстава</t>
  </si>
  <si>
    <t>Укупни расходи за потрошачку
 јединицу бр.  00750700</t>
  </si>
  <si>
    <t>Расходи за закуп зграда, објеката и превозних средстава</t>
  </si>
  <si>
    <t>Расходи за бруто накнаде ван радног времена</t>
  </si>
  <si>
    <t>413000</t>
  </si>
  <si>
    <t>418000</t>
  </si>
  <si>
    <t>Издаци за произведену  сталну имовину</t>
  </si>
  <si>
    <t>Издаци за залихе материјала,  робе и ситног инвентара,
амбалаже и сл.</t>
  </si>
  <si>
    <t>610000</t>
  </si>
  <si>
    <t>Издаци за отплату дугова из трансакција између или унутар јединице власти</t>
  </si>
  <si>
    <t>Расходи по основу камата на примљене зајмове у земљи 
(зајмови примљени од банака)</t>
  </si>
  <si>
    <t>511000</t>
  </si>
  <si>
    <t>Издаци за нематеријалну произведену имовину</t>
  </si>
  <si>
    <t>Издаци за набавку лиценци</t>
  </si>
  <si>
    <t>516000</t>
  </si>
  <si>
    <t>Издаци за залихе одјеће и остале залихе материјала</t>
  </si>
  <si>
    <t>621000</t>
  </si>
  <si>
    <t>628000</t>
  </si>
  <si>
    <t>631000</t>
  </si>
  <si>
    <t>638000</t>
  </si>
  <si>
    <t>Издаци за отплату главнице зајмова примљених из земље</t>
  </si>
  <si>
    <t>Издаци за отплату главнице примљених зајмова од Фонда</t>
  </si>
  <si>
    <t>Издаци по основу пореза на додату вриједност</t>
  </si>
  <si>
    <t>0720</t>
  </si>
  <si>
    <t>Приходи од партиципације</t>
  </si>
  <si>
    <t>Приходи од неосигураних лица</t>
  </si>
  <si>
    <t>Приходи по основу пружања амбулантних услуга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</si>
  <si>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</si>
  <si>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</si>
  <si>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</si>
  <si>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</si>
  <si>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</si>
  <si>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</si>
  <si>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</si>
  <si>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из трансакција размјене унутар исте јединице власти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</si>
  <si>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</si>
  <si>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</si>
  <si>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</si>
  <si>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</si>
  <si>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</si>
  <si>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</si>
  <si>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r>
      <t>Издаци по основу пореза на додату вриједност -</t>
    </r>
    <r>
      <rPr>
        <b/>
        <sz val="11"/>
        <rFont val="Times New Roman"/>
        <family val="1"/>
      </rPr>
      <t xml:space="preserve"> 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</si>
  <si>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</si>
  <si>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</si>
  <si>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</si>
  <si>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</si>
  <si>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</si>
  <si>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</si>
  <si>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</si>
  <si>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</si>
  <si>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</si>
  <si>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</si>
  <si>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</si>
  <si>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</si>
  <si>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</si>
  <si>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</si>
  <si>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</si>
  <si>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</si>
  <si>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</si>
  <si>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</si>
  <si>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</si>
  <si>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</si>
  <si>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</si>
  <si>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</si>
  <si>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</si>
  <si>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</si>
  <si>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t>Контрол-РАСХОДИ</t>
  </si>
  <si>
    <t>Издаци-финансиранје</t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</si>
  <si>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</si>
  <si>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Изградња спортске дворане</t>
  </si>
  <si>
    <t>Приходи од комерцијалних здравствених услуга</t>
  </si>
  <si>
    <t>Изградња парка у Улици Вељка Миланковића</t>
  </si>
  <si>
    <t>Једнократне помоћи за свако рођено дијете</t>
  </si>
  <si>
    <t>Средства за пројекат "Старење и здравље"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</si>
  <si>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</si>
  <si>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>Изградња водоводне мреже у МЗ Поточани</t>
  </si>
  <si>
    <t>Изградња инфраструктуре у Пословно-туристичкој зони "Вијака"</t>
  </si>
  <si>
    <t>Израда пројеката за водоводе мјесних заједница: Доњи Гаљиповци, Чорле, Насеобина Лишња, Бабановци, Хрваћани, Просјек, Мрачај-Отпочиваљка и Орашје-Ново Село</t>
  </si>
  <si>
    <r>
      <t>Трошкови обраде кредитне документације за примљене зајмове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(5.мил.КМ)</t>
    </r>
  </si>
  <si>
    <t>Помоћ у реализацији пројеката заједница етажних власника</t>
  </si>
  <si>
    <t>Приходи и примици и финансирање</t>
  </si>
  <si>
    <t>Разлика (примици - расходи и издаци)</t>
  </si>
  <si>
    <t>Средства за рјешавање стамбеног питања породица погинулих бораца</t>
  </si>
  <si>
    <t>Реконструкција старе зграде општине и зграде Војног одсјека - Завичајног музеја Прњавор</t>
  </si>
  <si>
    <t xml:space="preserve">Субвенционисање набавке уџбеника за ученике основних школа </t>
  </si>
  <si>
    <t>Трошкови одржавања јавне расвјете (у граду и мјесним заједницама)</t>
  </si>
  <si>
    <t>Помоћ младима кроз старт-уп предузетништво</t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</si>
  <si>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ватрогасно-спасилачка јединица Прњавор
Број: 00750125 </t>
    </r>
  </si>
  <si>
    <t>0721</t>
  </si>
  <si>
    <r>
      <t>Једнократне новчане помоћи појединцима -</t>
    </r>
    <r>
      <rPr>
        <b/>
        <sz val="10"/>
        <rFont val="Times New Roman"/>
        <family val="1"/>
      </rPr>
      <t xml:space="preserve"> буџетска резерва</t>
    </r>
  </si>
  <si>
    <r>
      <t>Средства за одржавање Фестивала националних мањина "Мала Европа" Прњавор -</t>
    </r>
    <r>
      <rPr>
        <b/>
        <sz val="10"/>
        <rFont val="Times New Roman"/>
        <family val="1"/>
      </rPr>
      <t xml:space="preserve"> буџетска резерва</t>
    </r>
  </si>
  <si>
    <r>
      <t>Финансирање Општинске организације слијепих  Прњавор -</t>
    </r>
    <r>
      <rPr>
        <b/>
        <sz val="10"/>
        <rFont val="Times New Roman"/>
        <family val="1"/>
      </rPr>
      <t xml:space="preserve"> буџетска резерва</t>
    </r>
  </si>
  <si>
    <r>
      <t>Остали непоменути расходи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</si>
  <si>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</si>
  <si>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Издаци по основу аванса -</t>
    </r>
    <r>
      <rPr>
        <b/>
        <sz val="10"/>
        <rFont val="Times New Roman"/>
        <family val="1"/>
      </rPr>
      <t xml:space="preserve"> буџетска резерва</t>
    </r>
  </si>
  <si>
    <t>Текући грант појединцима - Средства за помоћ у лијечењу дјеце и младих обољелих од дијабетеса</t>
  </si>
  <si>
    <t>Расходи за таксе и накнаде за регистрацију</t>
  </si>
  <si>
    <t>Помоћ појединцима</t>
  </si>
  <si>
    <r>
      <t>Стипендије ученицима дефицитарних занимања -</t>
    </r>
    <r>
      <rPr>
        <b/>
        <sz val="10"/>
        <rFont val="Times New Roman"/>
        <family val="1"/>
      </rPr>
      <t xml:space="preserve"> из средстава
Министарства просвјете и културе</t>
    </r>
  </si>
  <si>
    <t>Трансфер Министарства просвјете и културе РС Центру средњих школа "Иво Андрић" за стипендије и превоз ученика дефицитарних занимања</t>
  </si>
  <si>
    <t>Примици од продаје сталне имовине намијењене продаји из обустављених пословања</t>
  </si>
  <si>
    <t>Примици од продаје сталне имовине  из обустављених пословања</t>
  </si>
  <si>
    <t>0510</t>
  </si>
  <si>
    <t>Набавка возила за одвоз комуналног отпада</t>
  </si>
  <si>
    <t>Средства за постдипломце и докторанте</t>
  </si>
  <si>
    <t>0942</t>
  </si>
  <si>
    <r>
      <t xml:space="preserve">Трансфер општине Прњавор </t>
    </r>
    <r>
      <rPr>
        <b/>
        <sz val="10"/>
        <rFont val="Times New Roman"/>
        <family val="1"/>
      </rPr>
      <t>ЈЗУ Дом здравља  Прњавор</t>
    </r>
  </si>
  <si>
    <t>Приходи и примици</t>
  </si>
  <si>
    <t>Расходи и издаци</t>
  </si>
  <si>
    <t>приходи</t>
  </si>
  <si>
    <t>расходи</t>
  </si>
  <si>
    <r>
      <t xml:space="preserve">Трошкови обиљежавања значајних датума у мјесним заједницама - </t>
    </r>
    <r>
      <rPr>
        <b/>
        <sz val="10"/>
        <rFont val="Times New Roman"/>
        <family val="1"/>
      </rPr>
      <t>буџетска резерва</t>
    </r>
  </si>
  <si>
    <r>
      <t>Борачка организација општине Прњавор -</t>
    </r>
    <r>
      <rPr>
        <b/>
        <sz val="10"/>
        <rFont val="Times New Roman"/>
        <family val="1"/>
      </rPr>
      <t>буџетска резерва</t>
    </r>
  </si>
  <si>
    <t>5(4/3*100)</t>
  </si>
  <si>
    <t>6(5/4*100)</t>
  </si>
  <si>
    <t>7(6/5*100)</t>
  </si>
  <si>
    <t>4</t>
  </si>
  <si>
    <t>Захтјеви буџетских корисника за
2023.г.</t>
  </si>
  <si>
    <t>Захтјеви за додатна средства за
2023.г.</t>
  </si>
  <si>
    <r>
      <t xml:space="preserve">Камата на кредит од </t>
    </r>
    <r>
      <rPr>
        <sz val="10"/>
        <rFont val="Times New Roman"/>
        <family val="1"/>
      </rPr>
      <t>5.000.000,00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</si>
  <si>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5.000.000,00 КМ</t>
    </r>
  </si>
  <si>
    <t>Расходи за бруто накнаде трошкова и осталих личних примања 
запослених по основу рада</t>
  </si>
  <si>
    <t>Расходи по основу утрошка енергије, комуналних, комуникационих и 
транспортних услуга</t>
  </si>
  <si>
    <t>Расходи текућег одржавања</t>
  </si>
  <si>
    <t>Остали некласификовани расходи из трансакција са другим јединицама власти</t>
  </si>
  <si>
    <t>Набавка терминала за паркинг службу</t>
  </si>
  <si>
    <t xml:space="preserve">
Инвестиционо  одржавање, реконструкција и адаптација зграда и објеката
</t>
  </si>
  <si>
    <t>Удружење родитеља са четворо и више дјеце</t>
  </si>
  <si>
    <t>Razlika</t>
  </si>
  <si>
    <t>Издаци за изградњу азила за псе</t>
  </si>
  <si>
    <r>
      <t>Удружење пензионера-</t>
    </r>
    <r>
      <rPr>
        <b/>
        <sz val="10"/>
        <rFont val="Times New Roman"/>
        <family val="1"/>
      </rPr>
      <t>буџетска резерва</t>
    </r>
  </si>
  <si>
    <t>Остали непоменути расходи - извршење рјешења за уклањање објекта</t>
  </si>
  <si>
    <t>Субвенције избјеглим и расељеним лицима у поступку уписивања права својине на изграђеном земљишту</t>
  </si>
  <si>
    <t>Санација четири клизишта на локалном путу Кокори-Чивчије-Бранешци из средстава Владе РС  (Програм јавних инвестиција РС за 2022.г.-Сл.гл.РС, број 60/22)</t>
  </si>
  <si>
    <t>Реконструкција локалних путева и градских улица на подручју општине Прњавор из средстава Владе РС (Програм јавних инвестиција РС за 2022.г.-Сл.гл.РС, број 84/22)</t>
  </si>
  <si>
    <t>Суфинансирање реконструкције локалног пута Г.Вијачани-Сабањска ријека из средстава Владе РС  (Програм јавних инвестиција РС за 2022.г.-Сл.гл.РС, број 73/22)</t>
  </si>
  <si>
    <r>
      <t>Удружење СУБНОР-а-</t>
    </r>
    <r>
      <rPr>
        <b/>
        <sz val="10"/>
        <rFont val="Times New Roman"/>
        <family val="1"/>
      </rPr>
      <t>буџетска резерва</t>
    </r>
  </si>
  <si>
    <t>Изградња централног споменика и спомен обиљежја</t>
  </si>
  <si>
    <t>Приходи по основу израде медицинских средстава</t>
  </si>
  <si>
    <t>ТАБЕЛА 1. БУЏЕТ ГРАДА ПРЊАВОР ЗА 2024. ГОДИНУ
- ОПШТИ ДИО</t>
  </si>
  <si>
    <t>Буџет за
 2023. год.</t>
  </si>
  <si>
    <t>Буџет за
 2024. год.</t>
  </si>
  <si>
    <t>ТАБЕЛА 2. БУЏЕТ ГРАДА ПРЊАВОР ЗА 2024. ГОДИНУ
-БУЏЕТСКИ ПРИХОДИ И ПРИМИЦИ ЗА НЕФИНАНСИЈСКУ ИМОВИНУ</t>
  </si>
  <si>
    <t>Дознаке на име социјалне заштите које се исплаћују из буџета  града</t>
  </si>
  <si>
    <t>Приходи од закупа  пословних простора - Градска управа</t>
  </si>
  <si>
    <t>Градске административне таксе</t>
  </si>
  <si>
    <t>А) Приходи од пружања јавних услуга - Градских органа управе</t>
  </si>
  <si>
    <t>Приходи градских органа управе</t>
  </si>
  <si>
    <t>Накнада за коришћење шума и шумског земљишта - средства за развој неразвијених дијелова града остварена продајом шумских сортимената</t>
  </si>
  <si>
    <t xml:space="preserve">  ТАБЕЛА 3.  БУЏЕТ ГРАДА ПРЊАВОР ЗА 2024. ГОДИНУ
-БУЏЕТСКИ РАСХОДИ И ИЗДАЦИ ЗА НЕФИНАНСИЈСКУ ИМОВИНУ        </t>
  </si>
  <si>
    <t xml:space="preserve"> Буџет за
 2023. год.</t>
  </si>
  <si>
    <t xml:space="preserve"> Буџет за
 2024. год.</t>
  </si>
  <si>
    <t>Дознаке грађанима које се исплаћују из буџета града</t>
  </si>
  <si>
    <t>Дознаке пружаоцима услуга социјалне заштите које се исплаћују из буџета  града</t>
  </si>
  <si>
    <t>Дознаке на име социјалне заштите које се исплаћују из буџета града</t>
  </si>
  <si>
    <t xml:space="preserve"> ТАБЕЛА 5.  БУЏЕТ ГРАДА ПРЊАВОР ЗА 2024.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</si>
  <si>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Буџет за 
2023. год.</t>
  </si>
  <si>
    <t xml:space="preserve"> Буџет за 
2024. год.</t>
  </si>
  <si>
    <t>Плакете, повеље, награде и признања града</t>
  </si>
  <si>
    <r>
      <t xml:space="preserve">Плакете, повеље, награде и признања града - </t>
    </r>
    <r>
      <rPr>
        <b/>
        <sz val="10"/>
        <rFont val="Times New Roman"/>
        <family val="1"/>
      </rPr>
      <t>буџетска резерва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</si>
  <si>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Града Прњавор број:  9999999</t>
    </r>
  </si>
  <si>
    <t>ТАБЕЛА 4. БУЏЕТ ГРАДА ПРЊАВОР ЗА 2024. ГОДИНУ
- ФИНАНСИРАЊЕ</t>
  </si>
  <si>
    <t>Финансирање Градске изборне комисије</t>
  </si>
  <si>
    <t>Плакете, повеље, награде и признања Градоначелника</t>
  </si>
  <si>
    <t xml:space="preserve">Инвестиционо одржавање, реконструкција и адаптација зграда и објеката  </t>
  </si>
  <si>
    <t>Расходи за лична примања запослених у Градској управи</t>
  </si>
  <si>
    <t>Расходи из трансакција размјене између јединица власти</t>
  </si>
  <si>
    <t>Накнада за уређење грађевинског земљишта</t>
  </si>
  <si>
    <t>Субвенционисање трошкова комуналних  услуга социјално угроженим корисницима на подручју Града Прњавор</t>
  </si>
  <si>
    <t>Инвестиционо  одржавање, реконструкција и адаптација зграда и објеката  Градске управе</t>
  </si>
  <si>
    <t>Расходи по основу путовања и смјештаја запослених Градске управе</t>
  </si>
  <si>
    <t>Расходи за стручне услуге Градске управе</t>
  </si>
  <si>
    <t>Расходи за стручно усавршавање запослених Градске управе</t>
  </si>
  <si>
    <t>Расходи по основу утрошка енергије и комуналних услуга</t>
  </si>
  <si>
    <t>Расходи из трансакцијa размјене унутар исте јединице власти</t>
  </si>
  <si>
    <t xml:space="preserve">Остали некласификовани расходи </t>
  </si>
  <si>
    <t>Остали издаци из трансакција између или унутар 
јединица власти</t>
  </si>
  <si>
    <t xml:space="preserve">  ТАБЕЛА 6.   БУЏЕТ ГРАДА ПРЊАВОР ЗА 2024. ГОДИНУ
- ФУНКЦИОНАЛНА КЛАСИФИКАЦИЈА </t>
  </si>
  <si>
    <t>3</t>
  </si>
  <si>
    <t>Текуће одржавање путева на неразвијеним дијеловима града</t>
  </si>
  <si>
    <t>Изградња и реконструкција инфраструктуре и других објеката на неразвијеним дијеловима града</t>
  </si>
  <si>
    <t>Расходи поводом манифестација за празничне дане града</t>
  </si>
  <si>
    <t xml:space="preserve">Приходи од финансијске и нефинансијске имовине и трансакција размјене између или унутар јединица власти </t>
  </si>
  <si>
    <t>722121-722131</t>
  </si>
  <si>
    <t>Приход из трансакција размјене са осталим јединицама власти-ЈЗУ Дом здравља</t>
  </si>
  <si>
    <t>Примици од задуживања из трансакција између или унутар јединица власти</t>
  </si>
  <si>
    <t>Примици од задуживања код других јединица власти (кредит ЕИБ-а)</t>
  </si>
  <si>
    <t>Примици од задуживања код других јединица власти (кредит Свјетске банке)</t>
  </si>
  <si>
    <t>Финансирање дијела трошкова изборне кампање
 политичких субјеката</t>
  </si>
  <si>
    <t>остали непоменути расходи</t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</si>
  <si>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Градоначелника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</si>
  <si>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t>Грантови добровољним ватрогасним друштвима града</t>
  </si>
  <si>
    <t>Израда пројекта и почетак радова на водоснабдијевању МЗ Кремна, Кулаши и Поповићи</t>
  </si>
  <si>
    <t>Изградња водоводне мреже из кредита ЕИБ-а према приједлогу Пројекта
 (насеља Горња Мравица, Лишња, Гаљиповци и Прњавор-Ратковац)</t>
  </si>
  <si>
    <r>
      <t>Удружење РВИ</t>
    </r>
    <r>
      <rPr>
        <sz val="10"/>
        <rFont val="Times New Roman"/>
        <family val="1"/>
      </rPr>
      <t xml:space="preserve"> Прњавор</t>
    </r>
  </si>
  <si>
    <r>
      <t>Борачка организација</t>
    </r>
    <r>
      <rPr>
        <sz val="10"/>
        <rFont val="Times New Roman"/>
        <family val="1"/>
      </rPr>
      <t xml:space="preserve"> Прњавор</t>
    </r>
  </si>
  <si>
    <r>
      <t>Изградња и реконструкција објеката водоснабдијевања (базени, цјевоводи, изворишта, чесме и др.) из намјенских ср. за воде - "</t>
    </r>
    <r>
      <rPr>
        <b/>
        <sz val="10"/>
        <rFont val="Times New Roman"/>
        <family val="1"/>
      </rPr>
      <t>МЕГ ПРОЈЕКАТ"</t>
    </r>
  </si>
  <si>
    <r>
      <t>Програм здравствене заштите становништва</t>
    </r>
    <r>
      <rPr>
        <sz val="10"/>
        <rFont val="Times New Roman"/>
        <family val="1"/>
      </rPr>
      <t xml:space="preserve"> (трансакције размјене унутар исте јединице власти)</t>
    </r>
  </si>
  <si>
    <t>Остали некласификовани расходи из трансакција унутар исте јединице власти</t>
  </si>
  <si>
    <r>
      <t>Трошкови интеркаларне камате на примљени зајам</t>
    </r>
    <r>
      <rPr>
        <sz val="10"/>
        <rFont val="Times New Roman"/>
        <family val="1"/>
      </rPr>
      <t xml:space="preserve"> (5 мил.  КМ)</t>
    </r>
  </si>
  <si>
    <t>Трошкови камате за робни кредит Краљевине Шпаније (3,8 мил. КМ)</t>
  </si>
  <si>
    <t>УКУПНА БУЏЕТСКА СРЕДСТВА БЕЗ КРЕДИТА</t>
  </si>
  <si>
    <t xml:space="preserve">Новчане казне изречене у прекршајном поступку за прекршаје прописане актима СГ-а </t>
  </si>
  <si>
    <t>Нацрт</t>
  </si>
  <si>
    <t>Предлагач: Градоначелник</t>
  </si>
  <si>
    <t>Прњавор, новембар 2023. године</t>
  </si>
  <si>
    <r>
      <t xml:space="preserve">Финансирање </t>
    </r>
    <r>
      <rPr>
        <sz val="10"/>
        <color indexed="8"/>
        <rFont val="Times New Roman"/>
        <family val="1"/>
      </rPr>
      <t>Градске</t>
    </r>
    <r>
      <rPr>
        <sz val="10"/>
        <rFont val="Times New Roman"/>
        <family val="1"/>
      </rPr>
      <t xml:space="preserve"> организације слијепих  Прњавор</t>
    </r>
  </si>
  <si>
    <r>
      <t>Средства за имплементацију и суфинансирање пројеката предвиђених Стратегијом развоја</t>
    </r>
    <r>
      <rPr>
        <sz val="10"/>
        <color indexed="8"/>
        <rFont val="Times New Roman"/>
        <family val="1"/>
      </rPr>
      <t xml:space="preserve"> Града</t>
    </r>
    <r>
      <rPr>
        <sz val="10"/>
        <rFont val="Times New Roman"/>
        <family val="1"/>
      </rPr>
      <t xml:space="preserve"> Прњавор 2022-2028. година </t>
    </r>
  </si>
  <si>
    <r>
      <t>Трошкови</t>
    </r>
    <r>
      <rPr>
        <sz val="10"/>
        <color indexed="8"/>
        <rFont val="Times New Roman"/>
        <family val="1"/>
      </rPr>
      <t xml:space="preserve"> интеркаларне</t>
    </r>
    <r>
      <rPr>
        <sz val="10"/>
        <rFont val="Times New Roman"/>
        <family val="1"/>
      </rPr>
      <t xml:space="preserve"> камате </t>
    </r>
    <r>
      <rPr>
        <sz val="10"/>
        <color indexed="8"/>
        <rFont val="Times New Roman"/>
        <family val="1"/>
      </rPr>
      <t xml:space="preserve">и остали сервисни трошкови </t>
    </r>
    <r>
      <rPr>
        <sz val="10"/>
        <rFont val="Times New Roman"/>
        <family val="1"/>
      </rPr>
      <t>за кредит ЕИБ-а (2,7 мил. КМ)</t>
    </r>
  </si>
  <si>
    <r>
      <rPr>
        <sz val="10"/>
        <color indexed="8"/>
        <rFont val="Times New Roman"/>
        <family val="1"/>
      </rPr>
      <t>ГО</t>
    </r>
    <r>
      <rPr>
        <sz val="10"/>
        <rFont val="Times New Roman"/>
        <family val="1"/>
      </rPr>
      <t xml:space="preserve"> породица заробљених и погинулих бораца и несталих цивила Прњавор</t>
    </r>
  </si>
  <si>
    <r>
      <rPr>
        <sz val="10"/>
        <color indexed="8"/>
        <rFont val="Times New Roman"/>
        <family val="1"/>
      </rPr>
      <t>ГО</t>
    </r>
    <r>
      <rPr>
        <sz val="10"/>
        <rFont val="Times New Roman"/>
        <family val="1"/>
      </rPr>
      <t xml:space="preserve"> дјеце погинулих бораца одбрамбено-отаџбинског рата 1991-1995 Прњавор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</si>
  <si>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Града и Стручна служба Скупштине Града
Број: 00750110</t>
    </r>
  </si>
  <si>
    <t xml:space="preserve">             </t>
  </si>
  <si>
    <t>Обрађивач:Одјељење за финансије</t>
  </si>
  <si>
    <t xml:space="preserve"> БУЏЕТ 
ГРАДА ПРЊАВОР 
ЗА 2024. ГОДИНУ </t>
  </si>
  <si>
    <t xml:space="preserve"> Буџет за
2023. год.</t>
  </si>
  <si>
    <t>Буџет за
2023. год.</t>
  </si>
  <si>
    <t>Буџет за
2024. год.</t>
  </si>
  <si>
    <t>Реконструкција старе зграде Градске управе и зграде Војног одсјека - Завичајног музеја Прњавор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</si>
</sst>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0.0"/>
    <numFmt numFmtId="187" formatCode="#,##0.00;[Red]#,##0.00"/>
    <numFmt numFmtId="188" formatCode="0.000000000"/>
    <numFmt numFmtId="189" formatCode="0.00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3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0" fontId="12" fillId="33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6" fillId="13" borderId="11" xfId="0" applyFont="1" applyFill="1" applyBorder="1" applyAlignment="1">
      <alignment horizontal="left" vertical="center"/>
    </xf>
    <xf numFmtId="4" fontId="16" fillId="13" borderId="11" xfId="0" applyNumberFormat="1" applyFont="1" applyFill="1" applyBorder="1" applyAlignment="1">
      <alignment horizontal="right" vertical="center"/>
    </xf>
    <xf numFmtId="4" fontId="16" fillId="13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4" fontId="16" fillId="34" borderId="11" xfId="0" applyNumberFormat="1" applyFont="1" applyFill="1" applyBorder="1" applyAlignment="1">
      <alignment horizontal="right" vertical="center"/>
    </xf>
    <xf numFmtId="4" fontId="16" fillId="35" borderId="11" xfId="0" applyNumberFormat="1" applyFont="1" applyFill="1" applyBorder="1" applyAlignment="1">
      <alignment horizontal="right" vertical="center"/>
    </xf>
    <xf numFmtId="4" fontId="16" fillId="34" borderId="12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horizontal="right"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6" fillId="37" borderId="13" xfId="0" applyNumberFormat="1" applyFont="1" applyFill="1" applyBorder="1" applyAlignment="1">
      <alignment horizontal="right" vertical="center"/>
    </xf>
    <xf numFmtId="4" fontId="16" fillId="37" borderId="12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/>
    </xf>
    <xf numFmtId="4" fontId="19" fillId="38" borderId="11" xfId="0" applyNumberFormat="1" applyFont="1" applyFill="1" applyBorder="1" applyAlignment="1">
      <alignment horizontal="right" vertical="center"/>
    </xf>
    <xf numFmtId="4" fontId="19" fillId="38" borderId="13" xfId="0" applyNumberFormat="1" applyFont="1" applyFill="1" applyBorder="1" applyAlignment="1">
      <alignment horizontal="right" vertical="center"/>
    </xf>
    <xf numFmtId="4" fontId="19" fillId="38" borderId="12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4" fontId="16" fillId="38" borderId="12" xfId="0" applyNumberFormat="1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" fontId="16" fillId="36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left" vertical="center" wrapText="1"/>
    </xf>
    <xf numFmtId="0" fontId="16" fillId="13" borderId="11" xfId="0" applyFont="1" applyFill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16" fillId="13" borderId="14" xfId="0" applyFont="1" applyFill="1" applyBorder="1" applyAlignment="1">
      <alignment vertical="center" wrapText="1"/>
    </xf>
    <xf numFmtId="4" fontId="16" fillId="13" borderId="14" xfId="0" applyNumberFormat="1" applyFont="1" applyFill="1" applyBorder="1" applyAlignment="1">
      <alignment horizontal="right" vertical="center" wrapText="1"/>
    </xf>
    <xf numFmtId="4" fontId="16" fillId="13" borderId="14" xfId="0" applyNumberFormat="1" applyFont="1" applyFill="1" applyBorder="1" applyAlignment="1">
      <alignment horizontal="right" vertical="center"/>
    </xf>
    <xf numFmtId="4" fontId="16" fillId="13" borderId="15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 vertic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vertical="center" wrapText="1"/>
    </xf>
    <xf numFmtId="4" fontId="2" fillId="38" borderId="0" xfId="0" applyNumberFormat="1" applyFont="1" applyFill="1" applyBorder="1" applyAlignment="1">
      <alignment horizontal="right" vertical="center" wrapText="1"/>
    </xf>
    <xf numFmtId="4" fontId="17" fillId="38" borderId="0" xfId="0" applyNumberFormat="1" applyFont="1" applyFill="1" applyBorder="1" applyAlignment="1">
      <alignment horizontal="right" vertical="center"/>
    </xf>
    <xf numFmtId="4" fontId="19" fillId="38" borderId="11" xfId="0" applyNumberFormat="1" applyFont="1" applyFill="1" applyBorder="1" applyAlignment="1">
      <alignment horizontal="right" vertical="center"/>
    </xf>
    <xf numFmtId="0" fontId="19" fillId="38" borderId="10" xfId="0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4" fontId="24" fillId="39" borderId="22" xfId="0" applyNumberFormat="1" applyFont="1" applyFill="1" applyBorder="1" applyAlignment="1">
      <alignment horizontal="right" vertical="center"/>
    </xf>
    <xf numFmtId="4" fontId="24" fillId="39" borderId="23" xfId="0" applyNumberFormat="1" applyFont="1" applyFill="1" applyBorder="1" applyAlignment="1">
      <alignment horizontal="right" vertical="center"/>
    </xf>
    <xf numFmtId="4" fontId="19" fillId="39" borderId="24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 wrapText="1"/>
    </xf>
    <xf numFmtId="4" fontId="24" fillId="38" borderId="23" xfId="0" applyNumberFormat="1" applyFont="1" applyFill="1" applyBorder="1" applyAlignment="1">
      <alignment horizontal="right" vertical="center"/>
    </xf>
    <xf numFmtId="4" fontId="24" fillId="39" borderId="11" xfId="0" applyNumberFormat="1" applyFont="1" applyFill="1" applyBorder="1" applyAlignment="1">
      <alignment horizontal="right" vertical="center"/>
    </xf>
    <xf numFmtId="4" fontId="19" fillId="39" borderId="12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4" fontId="25" fillId="34" borderId="25" xfId="0" applyNumberFormat="1" applyFont="1" applyFill="1" applyBorder="1" applyAlignment="1">
      <alignment horizontal="right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Fill="1" applyBorder="1" applyAlignment="1">
      <alignment vertical="center"/>
    </xf>
    <xf numFmtId="4" fontId="24" fillId="0" borderId="18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horizontal="right" vertical="center"/>
    </xf>
    <xf numFmtId="4" fontId="24" fillId="0" borderId="20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right" vertical="center"/>
    </xf>
    <xf numFmtId="4" fontId="24" fillId="0" borderId="22" xfId="0" applyNumberFormat="1" applyFont="1" applyFill="1" applyBorder="1" applyAlignment="1">
      <alignment vertical="center"/>
    </xf>
    <xf numFmtId="4" fontId="24" fillId="38" borderId="22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left" vertical="center" wrapText="1"/>
    </xf>
    <xf numFmtId="4" fontId="25" fillId="34" borderId="11" xfId="0" applyNumberFormat="1" applyFont="1" applyFill="1" applyBorder="1" applyAlignment="1">
      <alignment horizontal="right" vertical="center"/>
    </xf>
    <xf numFmtId="4" fontId="16" fillId="35" borderId="12" xfId="0" applyNumberFormat="1" applyFont="1" applyFill="1" applyBorder="1" applyAlignment="1">
      <alignment horizontal="right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4" fontId="16" fillId="0" borderId="19" xfId="0" applyNumberFormat="1" applyFont="1" applyFill="1" applyBorder="1" applyAlignment="1">
      <alignment horizontal="right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2" fontId="19" fillId="39" borderId="24" xfId="0" applyNumberFormat="1" applyFont="1" applyFill="1" applyBorder="1" applyAlignment="1">
      <alignment horizontal="right" vertical="center"/>
    </xf>
    <xf numFmtId="2" fontId="19" fillId="38" borderId="12" xfId="0" applyNumberFormat="1" applyFont="1" applyFill="1" applyBorder="1" applyAlignment="1">
      <alignment horizontal="right" vertical="center"/>
    </xf>
    <xf numFmtId="4" fontId="24" fillId="39" borderId="13" xfId="0" applyNumberFormat="1" applyFont="1" applyFill="1" applyBorder="1" applyAlignment="1">
      <alignment horizontal="right" vertical="center"/>
    </xf>
    <xf numFmtId="2" fontId="19" fillId="39" borderId="12" xfId="0" applyNumberFormat="1" applyFont="1" applyFill="1" applyBorder="1" applyAlignment="1">
      <alignment horizontal="right" vertical="center"/>
    </xf>
    <xf numFmtId="2" fontId="16" fillId="35" borderId="12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19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4" fontId="24" fillId="38" borderId="11" xfId="0" applyNumberFormat="1" applyFont="1" applyFill="1" applyBorder="1" applyAlignment="1">
      <alignment horizontal="right" vertical="center"/>
    </xf>
    <xf numFmtId="4" fontId="24" fillId="38" borderId="13" xfId="0" applyNumberFormat="1" applyFont="1" applyFill="1" applyBorder="1" applyAlignment="1">
      <alignment horizontal="right" vertical="center"/>
    </xf>
    <xf numFmtId="4" fontId="76" fillId="38" borderId="23" xfId="0" applyNumberFormat="1" applyFont="1" applyFill="1" applyBorder="1" applyAlignment="1">
      <alignment horizontal="right" vertical="center"/>
    </xf>
    <xf numFmtId="4" fontId="19" fillId="38" borderId="23" xfId="0" applyNumberFormat="1" applyFont="1" applyFill="1" applyBorder="1" applyAlignment="1">
      <alignment horizontal="right" vertical="center"/>
    </xf>
    <xf numFmtId="4" fontId="24" fillId="0" borderId="17" xfId="0" applyNumberFormat="1" applyFont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horizontal="right" vertical="center"/>
    </xf>
    <xf numFmtId="4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 wrapText="1"/>
    </xf>
    <xf numFmtId="4" fontId="24" fillId="37" borderId="13" xfId="0" applyNumberFormat="1" applyFont="1" applyFill="1" applyBorder="1" applyAlignment="1">
      <alignment horizontal="right" vertical="center"/>
    </xf>
    <xf numFmtId="4" fontId="24" fillId="37" borderId="23" xfId="0" applyNumberFormat="1" applyFont="1" applyFill="1" applyBorder="1" applyAlignment="1">
      <alignment horizontal="right" vertical="center"/>
    </xf>
    <xf numFmtId="49" fontId="19" fillId="33" borderId="32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vertical="center" wrapText="1"/>
    </xf>
    <xf numFmtId="4" fontId="19" fillId="38" borderId="24" xfId="0" applyNumberFormat="1" applyFont="1" applyFill="1" applyBorder="1" applyAlignment="1">
      <alignment horizontal="right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right" vertical="center"/>
    </xf>
    <xf numFmtId="4" fontId="19" fillId="39" borderId="13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/>
    </xf>
    <xf numFmtId="4" fontId="24" fillId="40" borderId="11" xfId="0" applyNumberFormat="1" applyFont="1" applyFill="1" applyBorder="1" applyAlignment="1">
      <alignment vertical="center"/>
    </xf>
    <xf numFmtId="4" fontId="24" fillId="40" borderId="11" xfId="0" applyNumberFormat="1" applyFont="1" applyFill="1" applyBorder="1" applyAlignment="1">
      <alignment horizontal="right" vertical="center"/>
    </xf>
    <xf numFmtId="4" fontId="24" fillId="40" borderId="12" xfId="0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vertical="center"/>
    </xf>
    <xf numFmtId="4" fontId="76" fillId="0" borderId="11" xfId="0" applyNumberFormat="1" applyFont="1" applyBorder="1" applyAlignment="1">
      <alignment vertical="center"/>
    </xf>
    <xf numFmtId="49" fontId="19" fillId="38" borderId="11" xfId="0" applyNumberFormat="1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wrapText="1"/>
    </xf>
    <xf numFmtId="4" fontId="25" fillId="35" borderId="11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left" vertical="center" wrapText="1"/>
    </xf>
    <xf numFmtId="4" fontId="24" fillId="39" borderId="13" xfId="0" applyNumberFormat="1" applyFont="1" applyFill="1" applyBorder="1" applyAlignment="1">
      <alignment horizontal="right" vertical="center" wrapText="1"/>
    </xf>
    <xf numFmtId="4" fontId="24" fillId="39" borderId="11" xfId="0" applyNumberFormat="1" applyFont="1" applyFill="1" applyBorder="1" applyAlignment="1">
      <alignment horizontal="right" vertical="center" wrapText="1"/>
    </xf>
    <xf numFmtId="49" fontId="76" fillId="0" borderId="16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right" vertical="center"/>
    </xf>
    <xf numFmtId="2" fontId="16" fillId="0" borderId="19" xfId="0" applyNumberFormat="1" applyFont="1" applyFill="1" applyBorder="1" applyAlignment="1">
      <alignment horizontal="right" vertical="center"/>
    </xf>
    <xf numFmtId="2" fontId="16" fillId="0" borderId="21" xfId="0" applyNumberFormat="1" applyFont="1" applyFill="1" applyBorder="1" applyAlignment="1">
      <alignment horizontal="right" vertical="center"/>
    </xf>
    <xf numFmtId="4" fontId="24" fillId="41" borderId="23" xfId="0" applyNumberFormat="1" applyFont="1" applyFill="1" applyBorder="1" applyAlignment="1">
      <alignment horizontal="right" vertical="center"/>
    </xf>
    <xf numFmtId="4" fontId="26" fillId="33" borderId="33" xfId="0" applyNumberFormat="1" applyFont="1" applyFill="1" applyBorder="1" applyAlignment="1">
      <alignment vertical="center"/>
    </xf>
    <xf numFmtId="4" fontId="26" fillId="33" borderId="34" xfId="0" applyNumberFormat="1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center" vertical="center" wrapText="1"/>
    </xf>
    <xf numFmtId="1" fontId="19" fillId="33" borderId="11" xfId="0" applyNumberFormat="1" applyFont="1" applyFill="1" applyBorder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right" vertical="center"/>
    </xf>
    <xf numFmtId="4" fontId="16" fillId="0" borderId="20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right" vertical="center"/>
    </xf>
    <xf numFmtId="49" fontId="19" fillId="38" borderId="16" xfId="0" applyNumberFormat="1" applyFont="1" applyFill="1" applyBorder="1" applyAlignment="1">
      <alignment horizontal="center" vertical="center"/>
    </xf>
    <xf numFmtId="2" fontId="16" fillId="37" borderId="12" xfId="0" applyNumberFormat="1" applyFont="1" applyFill="1" applyBorder="1" applyAlignment="1">
      <alignment horizontal="right" vertical="center"/>
    </xf>
    <xf numFmtId="4" fontId="19" fillId="37" borderId="13" xfId="0" applyNumberFormat="1" applyFont="1" applyFill="1" applyBorder="1" applyAlignment="1">
      <alignment horizontal="right" vertical="center"/>
    </xf>
    <xf numFmtId="4" fontId="25" fillId="0" borderId="20" xfId="0" applyNumberFormat="1" applyFont="1" applyFill="1" applyBorder="1" applyAlignment="1">
      <alignment vertical="center"/>
    </xf>
    <xf numFmtId="4" fontId="25" fillId="0" borderId="2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2" fontId="19" fillId="33" borderId="24" xfId="0" applyNumberFormat="1" applyFont="1" applyFill="1" applyBorder="1" applyAlignment="1">
      <alignment horizontal="right" vertical="center"/>
    </xf>
    <xf numFmtId="4" fontId="25" fillId="34" borderId="14" xfId="0" applyNumberFormat="1" applyFont="1" applyFill="1" applyBorder="1" applyAlignment="1">
      <alignment horizontal="right" vertical="center"/>
    </xf>
    <xf numFmtId="4" fontId="25" fillId="35" borderId="14" xfId="0" applyNumberFormat="1" applyFont="1" applyFill="1" applyBorder="1" applyAlignment="1">
      <alignment horizontal="right" vertical="center"/>
    </xf>
    <xf numFmtId="2" fontId="16" fillId="35" borderId="15" xfId="0" applyNumberFormat="1" applyFont="1" applyFill="1" applyBorder="1" applyAlignment="1">
      <alignment horizontal="right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6" fillId="42" borderId="11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6" fillId="38" borderId="11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0" fontId="16" fillId="0" borderId="37" xfId="0" applyFont="1" applyBorder="1" applyAlignment="1">
      <alignment horizontal="center" vertical="center"/>
    </xf>
    <xf numFmtId="2" fontId="16" fillId="0" borderId="37" xfId="0" applyNumberFormat="1" applyFont="1" applyFill="1" applyBorder="1" applyAlignment="1">
      <alignment horizontal="center" vertical="center" wrapText="1"/>
    </xf>
    <xf numFmtId="2" fontId="16" fillId="0" borderId="36" xfId="0" applyNumberFormat="1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vertical="center"/>
    </xf>
    <xf numFmtId="2" fontId="16" fillId="13" borderId="12" xfId="0" applyNumberFormat="1" applyFont="1" applyFill="1" applyBorder="1" applyAlignment="1">
      <alignment horizontal="right" vertical="center"/>
    </xf>
    <xf numFmtId="0" fontId="16" fillId="42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right" vertical="center"/>
    </xf>
    <xf numFmtId="0" fontId="16" fillId="36" borderId="11" xfId="0" applyFont="1" applyFill="1" applyBorder="1" applyAlignment="1">
      <alignment vertical="center" wrapText="1"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6" fillId="36" borderId="11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left" vertical="center"/>
    </xf>
    <xf numFmtId="4" fontId="16" fillId="36" borderId="11" xfId="0" applyNumberFormat="1" applyFont="1" applyFill="1" applyBorder="1" applyAlignment="1">
      <alignment vertical="center"/>
    </xf>
    <xf numFmtId="0" fontId="19" fillId="38" borderId="16" xfId="0" applyFont="1" applyFill="1" applyBorder="1" applyAlignment="1">
      <alignment horizontal="right" vertical="center"/>
    </xf>
    <xf numFmtId="0" fontId="16" fillId="42" borderId="11" xfId="0" applyFont="1" applyFill="1" applyBorder="1" applyAlignment="1">
      <alignment vertical="center" wrapText="1"/>
    </xf>
    <xf numFmtId="0" fontId="16" fillId="13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vertical="center"/>
    </xf>
    <xf numFmtId="0" fontId="19" fillId="0" borderId="38" xfId="0" applyFont="1" applyBorder="1" applyAlignment="1">
      <alignment/>
    </xf>
    <xf numFmtId="2" fontId="16" fillId="13" borderId="15" xfId="0" applyNumberFormat="1" applyFont="1" applyFill="1" applyBorder="1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left" vertical="center"/>
    </xf>
    <xf numFmtId="0" fontId="16" fillId="37" borderId="11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2" fontId="16" fillId="0" borderId="4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0" fontId="16" fillId="35" borderId="38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left"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16" fillId="35" borderId="15" xfId="0" applyNumberFormat="1" applyFont="1" applyFill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4" fontId="19" fillId="0" borderId="43" xfId="0" applyNumberFormat="1" applyFont="1" applyBorder="1" applyAlignment="1">
      <alignment horizontal="right" vertical="center"/>
    </xf>
    <xf numFmtId="2" fontId="19" fillId="0" borderId="44" xfId="0" applyNumberFormat="1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2" fontId="19" fillId="0" borderId="47" xfId="0" applyNumberFormat="1" applyFont="1" applyBorder="1" applyAlignment="1">
      <alignment horizontal="right" vertical="center"/>
    </xf>
    <xf numFmtId="4" fontId="16" fillId="35" borderId="48" xfId="0" applyNumberFormat="1" applyFont="1" applyFill="1" applyBorder="1" applyAlignment="1">
      <alignment horizontal="right" vertical="center"/>
    </xf>
    <xf numFmtId="4" fontId="16" fillId="35" borderId="49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vertical="center"/>
    </xf>
    <xf numFmtId="4" fontId="76" fillId="0" borderId="23" xfId="0" applyNumberFormat="1" applyFont="1" applyFill="1" applyBorder="1" applyAlignment="1">
      <alignment horizontal="right" vertical="center"/>
    </xf>
    <xf numFmtId="0" fontId="16" fillId="38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vertical="center"/>
    </xf>
    <xf numFmtId="0" fontId="19" fillId="38" borderId="11" xfId="0" applyFont="1" applyFill="1" applyBorder="1" applyAlignment="1">
      <alignment horizontal="right" vertical="center" wrapText="1"/>
    </xf>
    <xf numFmtId="0" fontId="16" fillId="38" borderId="11" xfId="0" applyFont="1" applyFill="1" applyBorder="1" applyAlignment="1">
      <alignment horizontal="right" vertical="center" wrapText="1"/>
    </xf>
    <xf numFmtId="4" fontId="77" fillId="0" borderId="0" xfId="0" applyNumberFormat="1" applyFont="1" applyAlignment="1">
      <alignment horizontal="right" vertical="center"/>
    </xf>
    <xf numFmtId="0" fontId="78" fillId="0" borderId="0" xfId="0" applyFont="1" applyAlignment="1">
      <alignment vertical="center"/>
    </xf>
    <xf numFmtId="2" fontId="78" fillId="0" borderId="0" xfId="0" applyNumberFormat="1" applyFont="1" applyAlignment="1">
      <alignment vertical="center"/>
    </xf>
    <xf numFmtId="4" fontId="78" fillId="0" borderId="0" xfId="0" applyNumberFormat="1" applyFont="1" applyAlignment="1">
      <alignment vertical="center"/>
    </xf>
    <xf numFmtId="4" fontId="16" fillId="37" borderId="11" xfId="0" applyNumberFormat="1" applyFont="1" applyFill="1" applyBorder="1" applyAlignment="1">
      <alignment horizontal="right" vertical="center"/>
    </xf>
    <xf numFmtId="4" fontId="19" fillId="38" borderId="12" xfId="0" applyNumberFormat="1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0" fontId="19" fillId="0" borderId="11" xfId="0" applyFont="1" applyBorder="1" applyAlignment="1">
      <alignment vertical="center" wrapText="1"/>
    </xf>
    <xf numFmtId="4" fontId="19" fillId="38" borderId="23" xfId="0" applyNumberFormat="1" applyFont="1" applyFill="1" applyBorder="1" applyAlignment="1">
      <alignment horizontal="right" vertical="center"/>
    </xf>
    <xf numFmtId="2" fontId="19" fillId="38" borderId="12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/>
    </xf>
    <xf numFmtId="0" fontId="16" fillId="33" borderId="22" xfId="0" applyFont="1" applyFill="1" applyBorder="1" applyAlignment="1">
      <alignment vertical="center" wrapText="1"/>
    </xf>
    <xf numFmtId="4" fontId="16" fillId="37" borderId="23" xfId="0" applyNumberFormat="1" applyFont="1" applyFill="1" applyBorder="1" applyAlignment="1">
      <alignment horizontal="right" vertical="center"/>
    </xf>
    <xf numFmtId="4" fontId="25" fillId="37" borderId="23" xfId="0" applyNumberFormat="1" applyFont="1" applyFill="1" applyBorder="1" applyAlignment="1">
      <alignment horizontal="right" vertical="center"/>
    </xf>
    <xf numFmtId="4" fontId="16" fillId="37" borderId="24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5" fillId="38" borderId="33" xfId="0" applyNumberFormat="1" applyFont="1" applyFill="1" applyBorder="1" applyAlignment="1">
      <alignment horizontal="right" vertical="center"/>
    </xf>
    <xf numFmtId="4" fontId="24" fillId="38" borderId="22" xfId="0" applyNumberFormat="1" applyFont="1" applyFill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2" fontId="16" fillId="38" borderId="34" xfId="0" applyNumberFormat="1" applyFont="1" applyFill="1" applyBorder="1" applyAlignment="1">
      <alignment horizontal="right" vertical="center"/>
    </xf>
    <xf numFmtId="49" fontId="16" fillId="38" borderId="11" xfId="0" applyNumberFormat="1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25" fillId="41" borderId="11" xfId="0" applyNumberFormat="1" applyFont="1" applyFill="1" applyBorder="1" applyAlignment="1">
      <alignment horizontal="right" vertical="center"/>
    </xf>
    <xf numFmtId="4" fontId="24" fillId="41" borderId="22" xfId="0" applyNumberFormat="1" applyFont="1" applyFill="1" applyBorder="1" applyAlignment="1">
      <alignment horizontal="right" vertical="center"/>
    </xf>
    <xf numFmtId="2" fontId="19" fillId="41" borderId="24" xfId="0" applyNumberFormat="1" applyFont="1" applyFill="1" applyBorder="1" applyAlignment="1">
      <alignment horizontal="right" vertical="center"/>
    </xf>
    <xf numFmtId="4" fontId="25" fillId="35" borderId="11" xfId="0" applyNumberFormat="1" applyFont="1" applyFill="1" applyBorder="1" applyAlignment="1">
      <alignment horizontal="right" vertical="center"/>
    </xf>
    <xf numFmtId="4" fontId="25" fillId="35" borderId="22" xfId="0" applyNumberFormat="1" applyFont="1" applyFill="1" applyBorder="1" applyAlignment="1">
      <alignment horizontal="right" vertical="center"/>
    </xf>
    <xf numFmtId="2" fontId="16" fillId="35" borderId="24" xfId="0" applyNumberFormat="1" applyFont="1" applyFill="1" applyBorder="1" applyAlignment="1">
      <alignment horizontal="right" vertical="center"/>
    </xf>
    <xf numFmtId="4" fontId="24" fillId="38" borderId="11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/>
    </xf>
    <xf numFmtId="4" fontId="16" fillId="38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38" borderId="16" xfId="0" applyFont="1" applyFill="1" applyBorder="1" applyAlignment="1">
      <alignment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right" vertical="center"/>
    </xf>
    <xf numFmtId="0" fontId="16" fillId="38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38" borderId="11" xfId="0" applyFont="1" applyFill="1" applyBorder="1" applyAlignment="1">
      <alignment horizontal="left" vertical="center"/>
    </xf>
    <xf numFmtId="0" fontId="19" fillId="38" borderId="11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49" fontId="32" fillId="38" borderId="11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0" fontId="19" fillId="33" borderId="5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6" fillId="38" borderId="10" xfId="0" applyFont="1" applyFill="1" applyBorder="1" applyAlignment="1">
      <alignment horizontal="center" vertical="center"/>
    </xf>
    <xf numFmtId="4" fontId="25" fillId="35" borderId="23" xfId="0" applyNumberFormat="1" applyFont="1" applyFill="1" applyBorder="1" applyAlignment="1">
      <alignment horizontal="right" vertical="center"/>
    </xf>
    <xf numFmtId="4" fontId="25" fillId="35" borderId="13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/>
    </xf>
    <xf numFmtId="49" fontId="19" fillId="38" borderId="32" xfId="0" applyNumberFormat="1" applyFont="1" applyFill="1" applyBorder="1" applyAlignment="1">
      <alignment horizontal="center" vertical="center"/>
    </xf>
    <xf numFmtId="0" fontId="16" fillId="38" borderId="22" xfId="0" applyFont="1" applyFill="1" applyBorder="1" applyAlignment="1">
      <alignment horizontal="center" vertical="center"/>
    </xf>
    <xf numFmtId="0" fontId="19" fillId="38" borderId="22" xfId="0" applyFont="1" applyFill="1" applyBorder="1" applyAlignment="1">
      <alignment horizontal="right" vertical="center"/>
    </xf>
    <xf numFmtId="0" fontId="19" fillId="38" borderId="22" xfId="0" applyFont="1" applyFill="1" applyBorder="1" applyAlignment="1">
      <alignment vertical="center" wrapText="1"/>
    </xf>
    <xf numFmtId="4" fontId="16" fillId="3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16" fillId="38" borderId="23" xfId="0" applyNumberFormat="1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4" fontId="19" fillId="41" borderId="23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4" fontId="19" fillId="0" borderId="51" xfId="0" applyNumberFormat="1" applyFont="1" applyBorder="1" applyAlignment="1">
      <alignment horizontal="right" vertical="center"/>
    </xf>
    <xf numFmtId="2" fontId="19" fillId="38" borderId="24" xfId="0" applyNumberFormat="1" applyFont="1" applyFill="1" applyBorder="1" applyAlignment="1">
      <alignment horizontal="right" vertical="center"/>
    </xf>
    <xf numFmtId="4" fontId="24" fillId="38" borderId="12" xfId="0" applyNumberFormat="1" applyFont="1" applyFill="1" applyBorder="1" applyAlignment="1">
      <alignment horizontal="right" vertical="center"/>
    </xf>
    <xf numFmtId="4" fontId="24" fillId="41" borderId="11" xfId="0" applyNumberFormat="1" applyFont="1" applyFill="1" applyBorder="1" applyAlignment="1">
      <alignment horizontal="right" vertical="center"/>
    </xf>
    <xf numFmtId="4" fontId="19" fillId="37" borderId="24" xfId="0" applyNumberFormat="1" applyFont="1" applyFill="1" applyBorder="1" applyAlignment="1">
      <alignment horizontal="right" vertical="center"/>
    </xf>
    <xf numFmtId="2" fontId="19" fillId="37" borderId="24" xfId="0" applyNumberFormat="1" applyFont="1" applyFill="1" applyBorder="1" applyAlignment="1">
      <alignment horizontal="right" vertical="center"/>
    </xf>
    <xf numFmtId="4" fontId="16" fillId="35" borderId="24" xfId="0" applyNumberFormat="1" applyFont="1" applyFill="1" applyBorder="1" applyAlignment="1">
      <alignment horizontal="right" vertical="center"/>
    </xf>
    <xf numFmtId="4" fontId="16" fillId="35" borderId="12" xfId="0" applyNumberFormat="1" applyFont="1" applyFill="1" applyBorder="1" applyAlignment="1">
      <alignment horizontal="right" vertical="center"/>
    </xf>
    <xf numFmtId="4" fontId="25" fillId="35" borderId="12" xfId="0" applyNumberFormat="1" applyFont="1" applyFill="1" applyBorder="1" applyAlignment="1">
      <alignment horizontal="right" vertical="center"/>
    </xf>
    <xf numFmtId="2" fontId="16" fillId="35" borderId="12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2" fontId="19" fillId="41" borderId="24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4" fontId="14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4" fontId="16" fillId="38" borderId="12" xfId="0" applyNumberFormat="1" applyFont="1" applyFill="1" applyBorder="1" applyAlignment="1">
      <alignment horizontal="right" vertical="center"/>
    </xf>
    <xf numFmtId="4" fontId="19" fillId="0" borderId="0" xfId="0" applyNumberFormat="1" applyFont="1" applyBorder="1" applyAlignment="1">
      <alignment vertical="center"/>
    </xf>
    <xf numFmtId="4" fontId="16" fillId="33" borderId="33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49" fontId="16" fillId="38" borderId="10" xfId="0" applyNumberFormat="1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23" xfId="0" applyFill="1" applyBorder="1" applyAlignment="1">
      <alignment/>
    </xf>
    <xf numFmtId="4" fontId="24" fillId="41" borderId="2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38" borderId="0" xfId="0" applyNumberFormat="1" applyFill="1" applyAlignment="1">
      <alignment vertical="center"/>
    </xf>
    <xf numFmtId="0" fontId="8" fillId="38" borderId="0" xfId="0" applyFont="1" applyFill="1" applyAlignment="1">
      <alignment vertical="center"/>
    </xf>
    <xf numFmtId="4" fontId="2" fillId="38" borderId="0" xfId="0" applyNumberFormat="1" applyFont="1" applyFill="1" applyAlignment="1">
      <alignment horizontal="center" vertical="top"/>
    </xf>
    <xf numFmtId="0" fontId="0" fillId="38" borderId="0" xfId="0" applyFill="1" applyAlignment="1">
      <alignment horizontal="right" vertical="center"/>
    </xf>
    <xf numFmtId="4" fontId="8" fillId="38" borderId="0" xfId="0" applyNumberFormat="1" applyFont="1" applyFill="1" applyAlignment="1">
      <alignment/>
    </xf>
    <xf numFmtId="4" fontId="36" fillId="38" borderId="0" xfId="0" applyNumberFormat="1" applyFont="1" applyFill="1" applyBorder="1" applyAlignment="1">
      <alignment horizontal="right" vertical="center"/>
    </xf>
    <xf numFmtId="4" fontId="37" fillId="38" borderId="0" xfId="0" applyNumberFormat="1" applyFont="1" applyFill="1" applyBorder="1" applyAlignment="1">
      <alignment horizontal="right" vertical="center"/>
    </xf>
    <xf numFmtId="4" fontId="2" fillId="38" borderId="0" xfId="0" applyNumberFormat="1" applyFont="1" applyFill="1" applyAlignment="1">
      <alignment vertical="center"/>
    </xf>
    <xf numFmtId="4" fontId="78" fillId="38" borderId="0" xfId="0" applyNumberFormat="1" applyFont="1" applyFill="1" applyAlignment="1">
      <alignment vertical="center"/>
    </xf>
    <xf numFmtId="4" fontId="3" fillId="38" borderId="0" xfId="0" applyNumberFormat="1" applyFont="1" applyFill="1" applyAlignment="1">
      <alignment/>
    </xf>
    <xf numFmtId="4" fontId="19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9" fillId="38" borderId="16" xfId="0" applyFont="1" applyFill="1" applyBorder="1" applyAlignment="1">
      <alignment horizontal="right" vertical="center"/>
    </xf>
    <xf numFmtId="0" fontId="30" fillId="38" borderId="11" xfId="0" applyFont="1" applyFill="1" applyBorder="1" applyAlignment="1">
      <alignment horizontal="left" vertical="center" wrapText="1"/>
    </xf>
    <xf numFmtId="0" fontId="16" fillId="38" borderId="38" xfId="0" applyFont="1" applyFill="1" applyBorder="1" applyAlignment="1">
      <alignment horizontal="center" vertical="center"/>
    </xf>
    <xf numFmtId="0" fontId="16" fillId="13" borderId="14" xfId="0" applyFont="1" applyFill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16" fillId="38" borderId="1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" fontId="16" fillId="34" borderId="13" xfId="0" applyNumberFormat="1" applyFont="1" applyFill="1" applyBorder="1" applyAlignment="1">
      <alignment horizontal="right" vertical="center"/>
    </xf>
    <xf numFmtId="4" fontId="16" fillId="35" borderId="13" xfId="0" applyNumberFormat="1" applyFont="1" applyFill="1" applyBorder="1" applyAlignment="1">
      <alignment horizontal="right" vertical="center"/>
    </xf>
    <xf numFmtId="4" fontId="25" fillId="34" borderId="22" xfId="0" applyNumberFormat="1" applyFont="1" applyFill="1" applyBorder="1" applyAlignment="1">
      <alignment horizontal="right" vertical="center"/>
    </xf>
    <xf numFmtId="4" fontId="25" fillId="34" borderId="23" xfId="0" applyNumberFormat="1" applyFont="1" applyFill="1" applyBorder="1" applyAlignment="1">
      <alignment horizontal="right" vertical="center"/>
    </xf>
    <xf numFmtId="4" fontId="25" fillId="34" borderId="13" xfId="0" applyNumberFormat="1" applyFont="1" applyFill="1" applyBorder="1" applyAlignment="1">
      <alignment horizontal="right" vertical="center"/>
    </xf>
    <xf numFmtId="4" fontId="24" fillId="39" borderId="23" xfId="0" applyNumberFormat="1" applyFont="1" applyFill="1" applyBorder="1" applyAlignment="1">
      <alignment horizontal="right" vertical="center" wrapText="1"/>
    </xf>
    <xf numFmtId="4" fontId="25" fillId="41" borderId="22" xfId="0" applyNumberFormat="1" applyFont="1" applyFill="1" applyBorder="1" applyAlignment="1">
      <alignment horizontal="right" vertical="center"/>
    </xf>
    <xf numFmtId="4" fontId="19" fillId="37" borderId="2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38" borderId="13" xfId="0" applyNumberFormat="1" applyFont="1" applyFill="1" applyBorder="1" applyAlignment="1">
      <alignment horizontal="right" vertical="center"/>
    </xf>
    <xf numFmtId="4" fontId="19" fillId="38" borderId="13" xfId="0" applyNumberFormat="1" applyFont="1" applyFill="1" applyBorder="1" applyAlignment="1">
      <alignment horizontal="right" vertical="center"/>
    </xf>
    <xf numFmtId="4" fontId="16" fillId="13" borderId="53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4" fontId="25" fillId="34" borderId="54" xfId="0" applyNumberFormat="1" applyFont="1" applyFill="1" applyBorder="1" applyAlignment="1">
      <alignment horizontal="right" vertical="center"/>
    </xf>
    <xf numFmtId="4" fontId="24" fillId="0" borderId="23" xfId="0" applyNumberFormat="1" applyFont="1" applyFill="1" applyBorder="1" applyAlignment="1">
      <alignment vertical="center"/>
    </xf>
    <xf numFmtId="4" fontId="24" fillId="40" borderId="13" xfId="0" applyNumberFormat="1" applyFont="1" applyFill="1" applyBorder="1" applyAlignment="1">
      <alignment vertical="center"/>
    </xf>
    <xf numFmtId="4" fontId="76" fillId="0" borderId="13" xfId="0" applyNumberFormat="1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4" fontId="25" fillId="35" borderId="13" xfId="0" applyNumberFormat="1" applyFont="1" applyFill="1" applyBorder="1" applyAlignment="1">
      <alignment horizontal="right" vertical="center"/>
    </xf>
    <xf numFmtId="4" fontId="24" fillId="41" borderId="23" xfId="0" applyNumberFormat="1" applyFont="1" applyFill="1" applyBorder="1" applyAlignment="1">
      <alignment horizontal="right" vertical="center"/>
    </xf>
    <xf numFmtId="4" fontId="24" fillId="38" borderId="13" xfId="0" applyNumberFormat="1" applyFont="1" applyFill="1" applyBorder="1" applyAlignment="1">
      <alignment horizontal="right" vertical="center"/>
    </xf>
    <xf numFmtId="4" fontId="24" fillId="41" borderId="13" xfId="0" applyNumberFormat="1" applyFont="1" applyFill="1" applyBorder="1" applyAlignment="1">
      <alignment horizontal="right" vertical="center"/>
    </xf>
    <xf numFmtId="4" fontId="25" fillId="41" borderId="13" xfId="0" applyNumberFormat="1" applyFont="1" applyFill="1" applyBorder="1" applyAlignment="1">
      <alignment horizontal="right" vertical="center"/>
    </xf>
    <xf numFmtId="4" fontId="25" fillId="34" borderId="53" xfId="0" applyNumberFormat="1" applyFont="1" applyFill="1" applyBorder="1" applyAlignment="1">
      <alignment horizontal="right" vertical="center"/>
    </xf>
    <xf numFmtId="0" fontId="32" fillId="38" borderId="11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" fontId="19" fillId="0" borderId="52" xfId="0" applyNumberFormat="1" applyFont="1" applyFill="1" applyBorder="1" applyAlignment="1">
      <alignment horizontal="right" vertical="center"/>
    </xf>
    <xf numFmtId="0" fontId="19" fillId="38" borderId="11" xfId="0" applyFont="1" applyFill="1" applyBorder="1" applyAlignment="1">
      <alignment horizontal="right" vertical="center" wrapText="1"/>
    </xf>
    <xf numFmtId="4" fontId="24" fillId="41" borderId="11" xfId="0" applyNumberFormat="1" applyFont="1" applyFill="1" applyBorder="1" applyAlignment="1">
      <alignment horizontal="right" vertical="center"/>
    </xf>
    <xf numFmtId="0" fontId="14" fillId="0" borderId="55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2" fontId="14" fillId="0" borderId="0" xfId="0" applyNumberFormat="1" applyFont="1" applyAlignment="1">
      <alignment vertical="center"/>
    </xf>
    <xf numFmtId="2" fontId="38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2" fontId="0" fillId="0" borderId="0" xfId="0" applyNumberFormat="1" applyFill="1" applyAlignment="1">
      <alignment/>
    </xf>
    <xf numFmtId="4" fontId="76" fillId="38" borderId="11" xfId="0" applyNumberFormat="1" applyFont="1" applyFill="1" applyBorder="1" applyAlignment="1">
      <alignment horizontal="right" vertical="center"/>
    </xf>
    <xf numFmtId="4" fontId="76" fillId="38" borderId="11" xfId="0" applyNumberFormat="1" applyFont="1" applyFill="1" applyBorder="1" applyAlignment="1">
      <alignment horizontal="right" vertical="center"/>
    </xf>
    <xf numFmtId="0" fontId="76" fillId="0" borderId="11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14" fillId="0" borderId="0" xfId="0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4" fontId="19" fillId="0" borderId="23" xfId="0" applyNumberFormat="1" applyFont="1" applyFill="1" applyBorder="1" applyAlignment="1">
      <alignment horizontal="right" vertical="center"/>
    </xf>
    <xf numFmtId="4" fontId="19" fillId="0" borderId="46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39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6" fillId="38" borderId="40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61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6" fillId="34" borderId="63" xfId="0" applyFont="1" applyFill="1" applyBorder="1" applyAlignment="1">
      <alignment horizontal="center" vertical="center"/>
    </xf>
    <xf numFmtId="0" fontId="16" fillId="34" borderId="62" xfId="0" applyFont="1" applyFill="1" applyBorder="1" applyAlignment="1">
      <alignment horizontal="center" vertical="center"/>
    </xf>
    <xf numFmtId="0" fontId="31" fillId="36" borderId="11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8" borderId="61" xfId="0" applyNumberFormat="1" applyFont="1" applyFill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61" xfId="0" applyNumberFormat="1" applyFont="1" applyFill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0" fontId="30" fillId="36" borderId="54" xfId="0" applyFont="1" applyFill="1" applyBorder="1" applyAlignment="1">
      <alignment horizontal="center" vertical="center" wrapText="1"/>
    </xf>
    <xf numFmtId="0" fontId="30" fillId="36" borderId="27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29" xfId="0" applyFont="1" applyFill="1" applyBorder="1" applyAlignment="1">
      <alignment horizontal="center" vertical="center" wrapText="1"/>
    </xf>
    <xf numFmtId="0" fontId="30" fillId="36" borderId="23" xfId="0" applyFont="1" applyFill="1" applyBorder="1" applyAlignment="1">
      <alignment horizontal="center" vertical="center" wrapText="1"/>
    </xf>
    <xf numFmtId="0" fontId="30" fillId="36" borderId="3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5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61" xfId="0" applyFont="1" applyFill="1" applyBorder="1" applyAlignment="1">
      <alignment horizontal="center"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19050</xdr:rowOff>
    </xdr:from>
    <xdr:to>
      <xdr:col>11</xdr:col>
      <xdr:colOff>228600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9050"/>
          <a:ext cx="5753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124" zoomScaleNormal="124" zoomScaleSheetLayoutView="100" zoomScalePageLayoutView="0" workbookViewId="0" topLeftCell="A13">
      <selection activeCell="O28" sqref="O28"/>
    </sheetView>
  </sheetViews>
  <sheetFormatPr defaultColWidth="9.140625" defaultRowHeight="12.75"/>
  <cols>
    <col min="12" max="12" width="12.28125" style="0" customWidth="1"/>
  </cols>
  <sheetData>
    <row r="1" spans="1:13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ht="12.75" customHeight="1"/>
    <row r="6" ht="12.75" customHeight="1"/>
    <row r="7" ht="12.75" customHeight="1"/>
    <row r="8" spans="9:11" ht="15">
      <c r="I8" s="11"/>
      <c r="J8" s="11"/>
      <c r="K8" s="11"/>
    </row>
    <row r="9" spans="9:11" ht="15">
      <c r="I9" s="11"/>
      <c r="J9" s="12"/>
      <c r="K9" s="11"/>
    </row>
    <row r="10" spans="9:11" ht="15">
      <c r="I10" s="11"/>
      <c r="J10" s="12"/>
      <c r="K10" s="11"/>
    </row>
    <row r="11" spans="8:11" ht="12.75" customHeight="1">
      <c r="H11" s="13"/>
      <c r="I11" s="11"/>
      <c r="J11" s="14"/>
      <c r="K11" s="15"/>
    </row>
    <row r="12" ht="12.75" customHeight="1"/>
    <row r="13" ht="7.5" customHeight="1"/>
    <row r="14" spans="11:12" ht="17.25" customHeight="1">
      <c r="K14" s="40" t="s">
        <v>654</v>
      </c>
      <c r="L14" s="40"/>
    </row>
    <row r="15" spans="11:13" ht="15.75">
      <c r="K15" s="492"/>
      <c r="L15" s="492"/>
      <c r="M15" s="492"/>
    </row>
    <row r="16" ht="6" customHeight="1"/>
    <row r="17" ht="12.75" customHeight="1"/>
    <row r="18" spans="1:13" ht="12.75" customHeight="1">
      <c r="A18" s="490" t="s">
        <v>665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</row>
    <row r="19" spans="1:13" ht="12.75" customHeight="1">
      <c r="A19" s="490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</row>
    <row r="20" spans="1:13" ht="34.5" customHeight="1">
      <c r="A20" s="490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</row>
    <row r="21" spans="1:13" ht="16.5" customHeight="1">
      <c r="A21" s="490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</row>
    <row r="22" ht="12.75" customHeight="1"/>
    <row r="23" ht="12.75" customHeight="1"/>
    <row r="24" ht="12.75" customHeight="1"/>
    <row r="25" ht="12.75" customHeight="1"/>
    <row r="26" ht="12.75" customHeight="1"/>
    <row r="27" ht="9" customHeight="1"/>
    <row r="31" spans="8:13" ht="15">
      <c r="H31" s="484"/>
      <c r="I31" s="484"/>
      <c r="J31" s="489" t="s">
        <v>655</v>
      </c>
      <c r="K31" s="489"/>
      <c r="L31" s="489"/>
      <c r="M31" s="489"/>
    </row>
    <row r="32" spans="1:13" ht="15">
      <c r="A32" s="392" t="s">
        <v>656</v>
      </c>
      <c r="B32" s="392"/>
      <c r="C32" s="392"/>
      <c r="D32" s="392"/>
      <c r="E32" s="392"/>
      <c r="F32" s="392"/>
      <c r="G32" s="392"/>
      <c r="H32" s="484" t="s">
        <v>663</v>
      </c>
      <c r="I32" s="484"/>
      <c r="J32" s="489" t="s">
        <v>664</v>
      </c>
      <c r="K32" s="489"/>
      <c r="L32" s="489"/>
      <c r="M32" s="489"/>
    </row>
    <row r="33" spans="1:12" ht="15">
      <c r="A33" s="392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</row>
    <row r="37" spans="1:13" ht="15.75">
      <c r="A37" s="32"/>
      <c r="B37" s="32"/>
      <c r="C37" s="32"/>
      <c r="D37" s="32"/>
      <c r="E37" s="32"/>
      <c r="F37" s="32"/>
      <c r="G37" s="32"/>
      <c r="H37" s="491"/>
      <c r="I37" s="491"/>
      <c r="J37" s="491"/>
      <c r="K37" s="491"/>
      <c r="L37" s="491"/>
      <c r="M37" s="491"/>
    </row>
    <row r="38" spans="1:13" ht="15.75">
      <c r="A38" s="491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</row>
  </sheetData>
  <sheetProtection/>
  <mergeCells count="6">
    <mergeCell ref="J32:M32"/>
    <mergeCell ref="A18:M21"/>
    <mergeCell ref="H37:M37"/>
    <mergeCell ref="K15:M15"/>
    <mergeCell ref="A38:M38"/>
    <mergeCell ref="J31:M31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1.00390625" style="0" bestFit="1" customWidth="1"/>
    <col min="2" max="2" width="66.8515625" style="0" customWidth="1"/>
    <col min="3" max="3" width="17.57421875" style="21" customWidth="1"/>
    <col min="4" max="4" width="17.28125" style="21" customWidth="1"/>
    <col min="5" max="5" width="11.28125" style="21" customWidth="1"/>
    <col min="6" max="6" width="9.140625" style="0" customWidth="1"/>
    <col min="7" max="7" width="14.8515625" style="0" customWidth="1"/>
  </cols>
  <sheetData>
    <row r="1" spans="1:5" ht="47.25" customHeight="1" thickBot="1">
      <c r="A1" s="493" t="s">
        <v>590</v>
      </c>
      <c r="B1" s="493"/>
      <c r="C1" s="493"/>
      <c r="D1" s="493"/>
      <c r="E1" s="493"/>
    </row>
    <row r="2" spans="1:5" ht="18.75" customHeight="1" thickTop="1">
      <c r="A2" s="494" t="s">
        <v>56</v>
      </c>
      <c r="B2" s="496" t="s">
        <v>194</v>
      </c>
      <c r="C2" s="500" t="s">
        <v>591</v>
      </c>
      <c r="D2" s="500" t="s">
        <v>592</v>
      </c>
      <c r="E2" s="498" t="s">
        <v>107</v>
      </c>
    </row>
    <row r="3" spans="1:5" ht="29.25" customHeight="1">
      <c r="A3" s="495"/>
      <c r="B3" s="497"/>
      <c r="C3" s="501"/>
      <c r="D3" s="501"/>
      <c r="E3" s="499"/>
    </row>
    <row r="4" spans="1:5" s="5" customFormat="1" ht="12.75" customHeight="1">
      <c r="A4" s="102">
        <v>1</v>
      </c>
      <c r="B4" s="100">
        <v>2</v>
      </c>
      <c r="C4" s="100">
        <v>3</v>
      </c>
      <c r="D4" s="435">
        <v>4</v>
      </c>
      <c r="E4" s="101" t="s">
        <v>564</v>
      </c>
    </row>
    <row r="5" spans="1:5" ht="18" customHeight="1">
      <c r="A5" s="261"/>
      <c r="B5" s="48" t="s">
        <v>231</v>
      </c>
      <c r="C5" s="49">
        <f>C6+C13+C19+C21</f>
        <v>25213000</v>
      </c>
      <c r="D5" s="49">
        <f>D6+D13+D19+D21</f>
        <v>26625000</v>
      </c>
      <c r="E5" s="51">
        <f>IF(C5&gt;0,D5/C5*100,0)</f>
        <v>105.6002855669694</v>
      </c>
    </row>
    <row r="6" spans="1:5" ht="15" customHeight="1">
      <c r="A6" s="283">
        <v>710000</v>
      </c>
      <c r="B6" s="284" t="s">
        <v>203</v>
      </c>
      <c r="C6" s="56">
        <f>C7+C8+C9+C10+C11+C12</f>
        <v>14897000</v>
      </c>
      <c r="D6" s="56">
        <f>D7+D8+D9+D10+D11+D12</f>
        <v>15566000</v>
      </c>
      <c r="E6" s="58">
        <f aca="true" t="shared" si="0" ref="E6:E36">IF(C6&gt;0,D6/C6*100,0)</f>
        <v>104.49083708129155</v>
      </c>
    </row>
    <row r="7" spans="1:5" ht="12" customHeight="1">
      <c r="A7" s="255">
        <v>711100</v>
      </c>
      <c r="B7" s="61" t="s">
        <v>178</v>
      </c>
      <c r="C7" s="88">
        <f>'B.pr. i prim. za nef. im.'!D7</f>
        <v>0</v>
      </c>
      <c r="D7" s="88">
        <f>'B.pr. i prim. za nef. im.'!E7</f>
        <v>0</v>
      </c>
      <c r="E7" s="316">
        <f t="shared" si="0"/>
        <v>0</v>
      </c>
    </row>
    <row r="8" spans="1:5" ht="12.75">
      <c r="A8" s="255">
        <v>713000</v>
      </c>
      <c r="B8" s="69" t="s">
        <v>4</v>
      </c>
      <c r="C8" s="88">
        <f>'B.pr. i prim. za nef. im.'!D9</f>
        <v>1355000</v>
      </c>
      <c r="D8" s="88">
        <f>'B.pr. i prim. za nef. im.'!E9</f>
        <v>1600000</v>
      </c>
      <c r="E8" s="316">
        <f t="shared" si="0"/>
        <v>118.08118081180811</v>
      </c>
    </row>
    <row r="9" spans="1:5" ht="14.25" customHeight="1">
      <c r="A9" s="255">
        <v>714000</v>
      </c>
      <c r="B9" s="69" t="s">
        <v>8</v>
      </c>
      <c r="C9" s="88">
        <f>'B.pr. i prim. za nef. im.'!D12</f>
        <v>265000</v>
      </c>
      <c r="D9" s="88">
        <f>'B.pr. i prim. za nef. im.'!E12</f>
        <v>265000</v>
      </c>
      <c r="E9" s="316">
        <f t="shared" si="0"/>
        <v>100</v>
      </c>
    </row>
    <row r="10" spans="1:5" ht="14.25" customHeight="1">
      <c r="A10" s="255">
        <v>715000</v>
      </c>
      <c r="B10" s="69" t="s">
        <v>146</v>
      </c>
      <c r="C10" s="88">
        <f>'B.pr. i prim. za nef. im.'!D14</f>
        <v>2000</v>
      </c>
      <c r="D10" s="88">
        <f>'B.pr. i prim. za nef. im.'!E14</f>
        <v>1000</v>
      </c>
      <c r="E10" s="316">
        <f t="shared" si="0"/>
        <v>50</v>
      </c>
    </row>
    <row r="11" spans="1:5" ht="14.25" customHeight="1">
      <c r="A11" s="255">
        <v>717000</v>
      </c>
      <c r="B11" s="61" t="s">
        <v>282</v>
      </c>
      <c r="C11" s="88">
        <f>'B.pr. i prim. za nef. im.'!D18</f>
        <v>13200000</v>
      </c>
      <c r="D11" s="88">
        <f>'B.pr. i prim. za nef. im.'!E18</f>
        <v>13550000</v>
      </c>
      <c r="E11" s="316">
        <f t="shared" si="0"/>
        <v>102.65151515151516</v>
      </c>
    </row>
    <row r="12" spans="1:5" ht="14.25" customHeight="1">
      <c r="A12" s="255">
        <v>719000</v>
      </c>
      <c r="B12" s="69" t="s">
        <v>283</v>
      </c>
      <c r="C12" s="88">
        <f>'B.pr. i prim. za nef. im.'!D20</f>
        <v>75000</v>
      </c>
      <c r="D12" s="88">
        <f>'B.pr. i prim. za nef. im.'!E20</f>
        <v>150000</v>
      </c>
      <c r="E12" s="316">
        <f t="shared" si="0"/>
        <v>200</v>
      </c>
    </row>
    <row r="13" spans="1:7" ht="15" customHeight="1">
      <c r="A13" s="283">
        <v>720000</v>
      </c>
      <c r="B13" s="284" t="s">
        <v>206</v>
      </c>
      <c r="C13" s="56">
        <f>SUM(C14:C18)</f>
        <v>8536600</v>
      </c>
      <c r="D13" s="56">
        <f>SUM(D14:D18)</f>
        <v>8966300</v>
      </c>
      <c r="E13" s="58">
        <f t="shared" si="0"/>
        <v>105.03361994236582</v>
      </c>
      <c r="G13" s="1"/>
    </row>
    <row r="14" spans="1:7" ht="14.25" customHeight="1">
      <c r="A14" s="259">
        <v>721000</v>
      </c>
      <c r="B14" s="61" t="s">
        <v>147</v>
      </c>
      <c r="C14" s="88">
        <f>'B.pr. i prim. za nef. im.'!D23</f>
        <v>409900</v>
      </c>
      <c r="D14" s="88">
        <f>'B.pr. i prim. za nef. im.'!E23</f>
        <v>371410</v>
      </c>
      <c r="E14" s="316">
        <f t="shared" si="0"/>
        <v>90.60990485484265</v>
      </c>
      <c r="G14" s="1"/>
    </row>
    <row r="15" spans="1:5" ht="14.25" customHeight="1">
      <c r="A15" s="259">
        <v>722000</v>
      </c>
      <c r="B15" s="66" t="s">
        <v>150</v>
      </c>
      <c r="C15" s="88">
        <f>'B.pr. i prim. za nef. im.'!D31</f>
        <v>7951200</v>
      </c>
      <c r="D15" s="88">
        <f>'B.pr. i prim. za nef. im.'!E31</f>
        <v>8388290</v>
      </c>
      <c r="E15" s="316">
        <f t="shared" si="0"/>
        <v>105.4971576617366</v>
      </c>
    </row>
    <row r="16" spans="1:5" ht="14.25" customHeight="1">
      <c r="A16" s="259">
        <v>723000</v>
      </c>
      <c r="B16" s="69" t="s">
        <v>18</v>
      </c>
      <c r="C16" s="422">
        <f>'B.pr. i prim. za nef. im.'!D76</f>
        <v>45000</v>
      </c>
      <c r="D16" s="422">
        <f>'B.pr. i prim. za nef. im.'!E76</f>
        <v>94000</v>
      </c>
      <c r="E16" s="316">
        <f t="shared" si="0"/>
        <v>208.8888888888889</v>
      </c>
    </row>
    <row r="17" spans="1:5" ht="25.5" customHeight="1">
      <c r="A17" s="276">
        <v>728000</v>
      </c>
      <c r="B17" s="344" t="s">
        <v>483</v>
      </c>
      <c r="C17" s="422">
        <f>'B.pr. i prim. za nef. im.'!D78</f>
        <v>40500</v>
      </c>
      <c r="D17" s="422">
        <f>'B.pr. i prim. za nef. im.'!E78</f>
        <v>42600</v>
      </c>
      <c r="E17" s="316">
        <f t="shared" si="0"/>
        <v>105.18518518518518</v>
      </c>
    </row>
    <row r="18" spans="1:5" ht="12.75">
      <c r="A18" s="259">
        <v>729000</v>
      </c>
      <c r="B18" s="66" t="s">
        <v>19</v>
      </c>
      <c r="C18" s="422">
        <f>'B.pr. i prim. za nef. im.'!D82</f>
        <v>90000</v>
      </c>
      <c r="D18" s="422">
        <f>'B.pr. i prim. za nef. im.'!E82</f>
        <v>70000</v>
      </c>
      <c r="E18" s="316">
        <f t="shared" si="0"/>
        <v>77.77777777777779</v>
      </c>
    </row>
    <row r="19" spans="1:5" ht="15" customHeight="1">
      <c r="A19" s="283">
        <v>730000</v>
      </c>
      <c r="B19" s="285" t="s">
        <v>211</v>
      </c>
      <c r="C19" s="56">
        <f>C20</f>
        <v>0</v>
      </c>
      <c r="D19" s="56">
        <f>D20</f>
        <v>0</v>
      </c>
      <c r="E19" s="58">
        <f t="shared" si="0"/>
        <v>0</v>
      </c>
    </row>
    <row r="20" spans="1:5" ht="15" customHeight="1">
      <c r="A20" s="255">
        <v>731000</v>
      </c>
      <c r="B20" s="87" t="s">
        <v>131</v>
      </c>
      <c r="C20" s="88">
        <f>'B.pr. i prim. za nef. im.'!D84</f>
        <v>0</v>
      </c>
      <c r="D20" s="88">
        <f>'B.pr. i prim. za nef. im.'!E84</f>
        <v>0</v>
      </c>
      <c r="E20" s="316">
        <f t="shared" si="0"/>
        <v>0</v>
      </c>
    </row>
    <row r="21" spans="1:7" s="2" customFormat="1" ht="15" customHeight="1">
      <c r="A21" s="283">
        <v>780000</v>
      </c>
      <c r="B21" s="254" t="s">
        <v>284</v>
      </c>
      <c r="C21" s="56">
        <f>C22</f>
        <v>1779400</v>
      </c>
      <c r="D21" s="56">
        <f>D22</f>
        <v>2092700</v>
      </c>
      <c r="E21" s="58">
        <f t="shared" si="0"/>
        <v>117.60705855906485</v>
      </c>
      <c r="G21"/>
    </row>
    <row r="22" spans="1:7" s="2" customFormat="1" ht="15" customHeight="1">
      <c r="A22" s="255">
        <v>787000</v>
      </c>
      <c r="B22" s="69" t="s">
        <v>285</v>
      </c>
      <c r="C22" s="88">
        <f>'B.pr. i prim. za nef. im.'!D89</f>
        <v>1779400</v>
      </c>
      <c r="D22" s="88">
        <f>'B.pr. i prim. za nef. im.'!E89</f>
        <v>2092700</v>
      </c>
      <c r="E22" s="316">
        <f t="shared" si="0"/>
        <v>117.60705855906485</v>
      </c>
      <c r="G22"/>
    </row>
    <row r="23" spans="1:7" s="2" customFormat="1" ht="15" customHeight="1">
      <c r="A23" s="259"/>
      <c r="B23" s="48" t="s">
        <v>288</v>
      </c>
      <c r="C23" s="50">
        <f>C24+C33+C35</f>
        <v>21925700</v>
      </c>
      <c r="D23" s="50">
        <f>D24+D33+D35</f>
        <v>23481155</v>
      </c>
      <c r="E23" s="51">
        <f t="shared" si="0"/>
        <v>107.09420907884355</v>
      </c>
      <c r="G23"/>
    </row>
    <row r="24" spans="1:7" s="2" customFormat="1" ht="15" customHeight="1">
      <c r="A24" s="283">
        <v>410000</v>
      </c>
      <c r="B24" s="254" t="s">
        <v>232</v>
      </c>
      <c r="C24" s="56">
        <f>SUM(C25:C32)</f>
        <v>21504200</v>
      </c>
      <c r="D24" s="56">
        <f>SUM(D25:D32)</f>
        <v>23011155</v>
      </c>
      <c r="E24" s="58">
        <f t="shared" si="0"/>
        <v>107.00772407250676</v>
      </c>
      <c r="G24" s="1"/>
    </row>
    <row r="25" spans="1:7" s="2" customFormat="1" ht="14.25" customHeight="1">
      <c r="A25" s="255">
        <v>411000</v>
      </c>
      <c r="B25" s="87" t="s">
        <v>116</v>
      </c>
      <c r="C25" s="88">
        <f>'B.rash. i izdaci za nef. im.'!C6</f>
        <v>10949800</v>
      </c>
      <c r="D25" s="88">
        <f>'B.rash. i izdaci za nef. im.'!D6</f>
        <v>11046300</v>
      </c>
      <c r="E25" s="316">
        <f t="shared" si="0"/>
        <v>100.88129463551844</v>
      </c>
      <c r="G25" s="1"/>
    </row>
    <row r="26" spans="1:7" s="2" customFormat="1" ht="12.75">
      <c r="A26" s="255">
        <v>412000</v>
      </c>
      <c r="B26" s="194" t="s">
        <v>117</v>
      </c>
      <c r="C26" s="88">
        <f>'B.rash. i izdaci za nef. im.'!C11</f>
        <v>3643200</v>
      </c>
      <c r="D26" s="88">
        <f>'B.rash. i izdaci za nef. im.'!D11</f>
        <v>4453430</v>
      </c>
      <c r="E26" s="316">
        <f t="shared" si="0"/>
        <v>122.2395147123408</v>
      </c>
      <c r="G26"/>
    </row>
    <row r="27" spans="1:7" s="2" customFormat="1" ht="12.75">
      <c r="A27" s="255">
        <v>413000</v>
      </c>
      <c r="B27" s="61" t="s">
        <v>127</v>
      </c>
      <c r="C27" s="88">
        <f>'B.rash. i izdaci za nef. im.'!C21</f>
        <v>335000</v>
      </c>
      <c r="D27" s="88">
        <f>'B.rash. i izdaci za nef. im.'!D21</f>
        <v>294000</v>
      </c>
      <c r="E27" s="316">
        <f t="shared" si="0"/>
        <v>87.76119402985074</v>
      </c>
      <c r="G27"/>
    </row>
    <row r="28" spans="1:7" s="2" customFormat="1" ht="12.75">
      <c r="A28" s="255">
        <v>414000</v>
      </c>
      <c r="B28" s="87" t="s">
        <v>168</v>
      </c>
      <c r="C28" s="88">
        <f>'B.rash. i izdaci za nef. im.'!C25</f>
        <v>550000</v>
      </c>
      <c r="D28" s="88">
        <f>'B.rash. i izdaci za nef. im.'!D25</f>
        <v>495000</v>
      </c>
      <c r="E28" s="316">
        <f t="shared" si="0"/>
        <v>90</v>
      </c>
      <c r="G28"/>
    </row>
    <row r="29" spans="1:7" s="2" customFormat="1" ht="12.75">
      <c r="A29" s="255">
        <v>415000</v>
      </c>
      <c r="B29" s="194" t="s">
        <v>131</v>
      </c>
      <c r="C29" s="88">
        <f>'B.rash. i izdaci za nef. im.'!C27</f>
        <v>1515500</v>
      </c>
      <c r="D29" s="88">
        <f>'B.rash. i izdaci za nef. im.'!D27</f>
        <v>1462125</v>
      </c>
      <c r="E29" s="316">
        <f t="shared" si="0"/>
        <v>96.47806004618937</v>
      </c>
      <c r="G29"/>
    </row>
    <row r="30" spans="1:7" s="2" customFormat="1" ht="12.75">
      <c r="A30" s="255">
        <v>416000</v>
      </c>
      <c r="B30" s="87" t="s">
        <v>594</v>
      </c>
      <c r="C30" s="88">
        <f>'B.rash. i izdaci za nef. im.'!C29</f>
        <v>4272900</v>
      </c>
      <c r="D30" s="88">
        <f>'B.rash. i izdaci za nef. im.'!D29</f>
        <v>4885400</v>
      </c>
      <c r="E30" s="316">
        <f t="shared" si="0"/>
        <v>114.33452690210395</v>
      </c>
      <c r="G30"/>
    </row>
    <row r="31" spans="1:7" s="2" customFormat="1" ht="25.5">
      <c r="A31" s="255">
        <v>418000</v>
      </c>
      <c r="B31" s="87" t="s">
        <v>286</v>
      </c>
      <c r="C31" s="88">
        <f>'B.rash. i izdaci za nef. im.'!C32</f>
        <v>85300</v>
      </c>
      <c r="D31" s="88">
        <f>'B.rash. i izdaci za nef. im.'!D32</f>
        <v>142400</v>
      </c>
      <c r="E31" s="316">
        <f t="shared" si="0"/>
        <v>166.94021101992968</v>
      </c>
      <c r="G31"/>
    </row>
    <row r="32" spans="1:7" s="2" customFormat="1" ht="14.25" customHeight="1">
      <c r="A32" s="255">
        <v>419000</v>
      </c>
      <c r="B32" s="87" t="s">
        <v>287</v>
      </c>
      <c r="C32" s="88">
        <f>'B.rash. i izdaci za nef. im.'!C36</f>
        <v>152500</v>
      </c>
      <c r="D32" s="88">
        <f>'B.rash. i izdaci za nef. im.'!D36</f>
        <v>232500</v>
      </c>
      <c r="E32" s="316">
        <f t="shared" si="0"/>
        <v>152.45901639344262</v>
      </c>
      <c r="G32"/>
    </row>
    <row r="33" spans="1:7" s="2" customFormat="1" ht="16.5" customHeight="1">
      <c r="A33" s="283">
        <v>480000</v>
      </c>
      <c r="B33" s="254" t="s">
        <v>290</v>
      </c>
      <c r="C33" s="56">
        <f>SUM(C34)</f>
        <v>211500</v>
      </c>
      <c r="D33" s="56">
        <f>SUM(D34)</f>
        <v>240000</v>
      </c>
      <c r="E33" s="58">
        <f t="shared" si="0"/>
        <v>113.47517730496455</v>
      </c>
      <c r="G33"/>
    </row>
    <row r="34" spans="1:7" s="2" customFormat="1" ht="16.5" customHeight="1">
      <c r="A34" s="255">
        <v>487000</v>
      </c>
      <c r="B34" s="87" t="s">
        <v>285</v>
      </c>
      <c r="C34" s="88">
        <f>'B.rash. i izdaci za nef. im.'!C38</f>
        <v>211500</v>
      </c>
      <c r="D34" s="88">
        <f>'B.rash. i izdaci za nef. im.'!D38</f>
        <v>240000</v>
      </c>
      <c r="E34" s="316">
        <f t="shared" si="0"/>
        <v>113.47517730496455</v>
      </c>
      <c r="G34"/>
    </row>
    <row r="35" spans="1:7" s="2" customFormat="1" ht="15.75" customHeight="1">
      <c r="A35" s="283" t="s">
        <v>184</v>
      </c>
      <c r="B35" s="254" t="s">
        <v>289</v>
      </c>
      <c r="C35" s="56">
        <f>'B.rash. i izdaci za nef. im.'!C43</f>
        <v>210000</v>
      </c>
      <c r="D35" s="56">
        <f>'B.rash. i izdaci za nef. im.'!D43</f>
        <v>230000</v>
      </c>
      <c r="E35" s="58">
        <f t="shared" si="0"/>
        <v>109.52380952380953</v>
      </c>
      <c r="G35"/>
    </row>
    <row r="36" spans="1:7" s="2" customFormat="1" ht="16.5" customHeight="1">
      <c r="A36" s="259"/>
      <c r="B36" s="43" t="s">
        <v>233</v>
      </c>
      <c r="C36" s="44">
        <f>C5-C23</f>
        <v>3287300</v>
      </c>
      <c r="D36" s="44">
        <f>D5-D23</f>
        <v>3143845</v>
      </c>
      <c r="E36" s="45">
        <f t="shared" si="0"/>
        <v>95.63608432452165</v>
      </c>
      <c r="G36"/>
    </row>
    <row r="37" spans="1:7" s="2" customFormat="1" ht="16.5" customHeight="1">
      <c r="A37" s="259"/>
      <c r="B37" s="286" t="s">
        <v>234</v>
      </c>
      <c r="C37" s="50">
        <f>C38-C42</f>
        <v>-3063900</v>
      </c>
      <c r="D37" s="50">
        <f>D38-D42</f>
        <v>-4652300</v>
      </c>
      <c r="E37" s="51" t="s">
        <v>251</v>
      </c>
      <c r="G37"/>
    </row>
    <row r="38" spans="1:5" ht="13.5" customHeight="1">
      <c r="A38" s="283">
        <v>810000</v>
      </c>
      <c r="B38" s="254" t="s">
        <v>213</v>
      </c>
      <c r="C38" s="56">
        <f>SUM(C39:C41)</f>
        <v>722000</v>
      </c>
      <c r="D38" s="56">
        <f>SUM(D39:D41)</f>
        <v>345000</v>
      </c>
      <c r="E38" s="58">
        <f aca="true" t="shared" si="1" ref="E38:E45">IF(C38&gt;0,D38/C38*100,0)</f>
        <v>47.78393351800554</v>
      </c>
    </row>
    <row r="39" spans="1:5" ht="14.25" customHeight="1">
      <c r="A39" s="255">
        <v>813000</v>
      </c>
      <c r="B39" s="69" t="s">
        <v>152</v>
      </c>
      <c r="C39" s="88">
        <f>'B.pr. i prim. za nef. im.'!D104</f>
        <v>680000</v>
      </c>
      <c r="D39" s="88">
        <f>'B.pr. i prim. za nef. im.'!E104</f>
        <v>300000</v>
      </c>
      <c r="E39" s="316">
        <f t="shared" si="1"/>
        <v>44.11764705882353</v>
      </c>
    </row>
    <row r="40" spans="1:5" ht="26.25" customHeight="1" hidden="1">
      <c r="A40" s="255">
        <v>814000</v>
      </c>
      <c r="B40" s="399" t="s">
        <v>551</v>
      </c>
      <c r="C40" s="88">
        <f>'B.pr. i prim. za nef. im.'!D106</f>
        <v>0</v>
      </c>
      <c r="D40" s="88">
        <f>'B.pr. i prim. za nef. im.'!E106</f>
        <v>0</v>
      </c>
      <c r="E40" s="316">
        <f t="shared" si="1"/>
        <v>0</v>
      </c>
    </row>
    <row r="41" spans="1:5" ht="15.75" customHeight="1">
      <c r="A41" s="255">
        <v>816000</v>
      </c>
      <c r="B41" s="69" t="s">
        <v>235</v>
      </c>
      <c r="C41" s="88">
        <f>'B.pr. i prim. za nef. im.'!D108</f>
        <v>42000</v>
      </c>
      <c r="D41" s="88">
        <f>'B.pr. i prim. za nef. im.'!E108</f>
        <v>45000</v>
      </c>
      <c r="E41" s="316">
        <f t="shared" si="1"/>
        <v>107.14285714285714</v>
      </c>
    </row>
    <row r="42" spans="1:5" ht="16.5" customHeight="1">
      <c r="A42" s="283">
        <v>510000</v>
      </c>
      <c r="B42" s="254" t="s">
        <v>236</v>
      </c>
      <c r="C42" s="56">
        <f>SUM(C43:C45)</f>
        <v>3785900</v>
      </c>
      <c r="D42" s="56">
        <f>SUM(D43:D45)</f>
        <v>4997300</v>
      </c>
      <c r="E42" s="58">
        <f t="shared" si="1"/>
        <v>131.997675585726</v>
      </c>
    </row>
    <row r="43" spans="1:5" ht="12.75">
      <c r="A43" s="255">
        <v>511000</v>
      </c>
      <c r="B43" s="69" t="s">
        <v>133</v>
      </c>
      <c r="C43" s="88">
        <f>'B.rash. i izdaci za nef. im.'!C45</f>
        <v>3224200</v>
      </c>
      <c r="D43" s="88">
        <f>'B.rash. i izdaci za nef. im.'!D45</f>
        <v>4416000</v>
      </c>
      <c r="E43" s="316">
        <f t="shared" si="1"/>
        <v>136.96420817567147</v>
      </c>
    </row>
    <row r="44" spans="1:5" ht="12.75">
      <c r="A44" s="287">
        <v>513000</v>
      </c>
      <c r="B44" s="194" t="s">
        <v>159</v>
      </c>
      <c r="C44" s="88">
        <f>'B.rash. i izdaci za nef. im.'!C51</f>
        <v>150000</v>
      </c>
      <c r="D44" s="88">
        <f>'B.rash. i izdaci za nef. im.'!D51</f>
        <v>40000</v>
      </c>
      <c r="E44" s="316">
        <f t="shared" si="1"/>
        <v>26.666666666666668</v>
      </c>
    </row>
    <row r="45" spans="1:5" ht="12.75">
      <c r="A45" s="287">
        <v>516000</v>
      </c>
      <c r="B45" s="87" t="s">
        <v>274</v>
      </c>
      <c r="C45" s="88">
        <f>'B.rash. i izdaci za nef. im.'!C54</f>
        <v>411700</v>
      </c>
      <c r="D45" s="88">
        <f>'B.rash. i izdaci za nef. im.'!D54</f>
        <v>541300</v>
      </c>
      <c r="E45" s="316">
        <f t="shared" si="1"/>
        <v>131.4792324508137</v>
      </c>
    </row>
    <row r="46" spans="1:5" ht="18.75" customHeight="1">
      <c r="A46" s="287"/>
      <c r="B46" s="43" t="s">
        <v>237</v>
      </c>
      <c r="C46" s="44">
        <f>C36+C37</f>
        <v>223400</v>
      </c>
      <c r="D46" s="44">
        <f>D36+D37</f>
        <v>-1508455</v>
      </c>
      <c r="E46" s="45" t="s">
        <v>251</v>
      </c>
    </row>
    <row r="47" spans="1:5" ht="15.75" customHeight="1">
      <c r="A47" s="287"/>
      <c r="B47" s="48" t="s">
        <v>291</v>
      </c>
      <c r="C47" s="50">
        <f>C48+C53+C60+C67</f>
        <v>-223400</v>
      </c>
      <c r="D47" s="50">
        <f>D48+D53+D60+D67</f>
        <v>1508455</v>
      </c>
      <c r="E47" s="51" t="s">
        <v>251</v>
      </c>
    </row>
    <row r="48" spans="1:5" ht="17.25" customHeight="1">
      <c r="A48" s="287"/>
      <c r="B48" s="48" t="s">
        <v>238</v>
      </c>
      <c r="C48" s="50">
        <f>C49-C51</f>
        <v>0</v>
      </c>
      <c r="D48" s="50">
        <f>D49-D51</f>
        <v>0</v>
      </c>
      <c r="E48" s="51">
        <f aca="true" t="shared" si="2" ref="E48:E59">IF(C48&gt;0,D48/C48*100,0)</f>
        <v>0</v>
      </c>
    </row>
    <row r="49" spans="1:5" ht="15" customHeight="1">
      <c r="A49" s="283">
        <v>910000</v>
      </c>
      <c r="B49" s="254" t="s">
        <v>239</v>
      </c>
      <c r="C49" s="56">
        <f>SUM(C50)</f>
        <v>0</v>
      </c>
      <c r="D49" s="56">
        <f>SUM(D50)</f>
        <v>0</v>
      </c>
      <c r="E49" s="58">
        <f t="shared" si="2"/>
        <v>0</v>
      </c>
    </row>
    <row r="50" spans="1:5" ht="14.25" customHeight="1">
      <c r="A50" s="255">
        <v>911000</v>
      </c>
      <c r="B50" s="157" t="s">
        <v>240</v>
      </c>
      <c r="C50" s="62">
        <f>Finansiranje!C6</f>
        <v>0</v>
      </c>
      <c r="D50" s="62">
        <f>Finansiranje!D6</f>
        <v>0</v>
      </c>
      <c r="E50" s="76">
        <f t="shared" si="2"/>
        <v>0</v>
      </c>
    </row>
    <row r="51" spans="1:5" ht="14.25" customHeight="1">
      <c r="A51" s="283">
        <v>610000</v>
      </c>
      <c r="B51" s="254" t="s">
        <v>241</v>
      </c>
      <c r="C51" s="56">
        <f>SUM(C52)</f>
        <v>0</v>
      </c>
      <c r="D51" s="56">
        <f>SUM(D52)</f>
        <v>0</v>
      </c>
      <c r="E51" s="58">
        <f t="shared" si="2"/>
        <v>0</v>
      </c>
    </row>
    <row r="52" spans="1:5" ht="14.25" customHeight="1">
      <c r="A52" s="255">
        <v>611000</v>
      </c>
      <c r="B52" s="157" t="s">
        <v>242</v>
      </c>
      <c r="C52" s="62">
        <f>Finansiranje!C8</f>
        <v>0</v>
      </c>
      <c r="D52" s="62">
        <f>Finansiranje!D8</f>
        <v>0</v>
      </c>
      <c r="E52" s="76">
        <f t="shared" si="2"/>
        <v>0</v>
      </c>
    </row>
    <row r="53" spans="1:5" ht="14.25" customHeight="1">
      <c r="A53" s="255"/>
      <c r="B53" s="48" t="s">
        <v>243</v>
      </c>
      <c r="C53" s="50">
        <f>C54-C57</f>
        <v>-512000</v>
      </c>
      <c r="D53" s="50">
        <f>D54-D57</f>
        <v>1255000</v>
      </c>
      <c r="E53" s="51">
        <f t="shared" si="2"/>
        <v>0</v>
      </c>
    </row>
    <row r="54" spans="1:5" ht="15" customHeight="1">
      <c r="A54" s="283">
        <v>920000</v>
      </c>
      <c r="B54" s="254" t="s">
        <v>246</v>
      </c>
      <c r="C54" s="56">
        <f>SUM(C55:C56)</f>
        <v>1300000</v>
      </c>
      <c r="D54" s="56">
        <f>SUM(D55:D56)</f>
        <v>2700000</v>
      </c>
      <c r="E54" s="58">
        <f t="shared" si="2"/>
        <v>207.6923076923077</v>
      </c>
    </row>
    <row r="55" spans="1:5" ht="14.25" customHeight="1">
      <c r="A55" s="255">
        <v>921000</v>
      </c>
      <c r="B55" s="69" t="s">
        <v>372</v>
      </c>
      <c r="C55" s="88">
        <f>Finansiranje!C12</f>
        <v>1300000</v>
      </c>
      <c r="D55" s="88">
        <f>Finansiranje!D12</f>
        <v>0</v>
      </c>
      <c r="E55" s="316">
        <f t="shared" si="2"/>
        <v>0</v>
      </c>
    </row>
    <row r="56" spans="1:5" ht="12.75">
      <c r="A56" s="255">
        <v>928000</v>
      </c>
      <c r="B56" s="69" t="s">
        <v>636</v>
      </c>
      <c r="C56" s="88">
        <f>Finansiranje!C14</f>
        <v>0</v>
      </c>
      <c r="D56" s="88">
        <f>Finansiranje!D14</f>
        <v>2700000</v>
      </c>
      <c r="E56" s="316">
        <f t="shared" si="2"/>
        <v>0</v>
      </c>
    </row>
    <row r="57" spans="1:5" ht="14.25" customHeight="1">
      <c r="A57" s="283">
        <v>620000</v>
      </c>
      <c r="B57" s="254" t="s">
        <v>244</v>
      </c>
      <c r="C57" s="56">
        <f>SUM(C58:C59)</f>
        <v>1812000</v>
      </c>
      <c r="D57" s="56">
        <f>SUM(D58:D59)</f>
        <v>1445000</v>
      </c>
      <c r="E57" s="58">
        <f t="shared" si="2"/>
        <v>79.74613686534217</v>
      </c>
    </row>
    <row r="58" spans="1:5" ht="15.75" customHeight="1">
      <c r="A58" s="255">
        <v>621000</v>
      </c>
      <c r="B58" s="69" t="s">
        <v>373</v>
      </c>
      <c r="C58" s="88">
        <f>Finansiranje!C18</f>
        <v>1632000</v>
      </c>
      <c r="D58" s="88">
        <f>Finansiranje!D18</f>
        <v>1265000</v>
      </c>
      <c r="E58" s="316">
        <f t="shared" si="2"/>
        <v>77.51225490196079</v>
      </c>
    </row>
    <row r="59" spans="1:5" ht="12.75">
      <c r="A59" s="255">
        <v>628000</v>
      </c>
      <c r="B59" s="69" t="s">
        <v>368</v>
      </c>
      <c r="C59" s="88">
        <f>Finansiranje!C21</f>
        <v>180000</v>
      </c>
      <c r="D59" s="88">
        <f>Finansiranje!D21</f>
        <v>180000</v>
      </c>
      <c r="E59" s="316">
        <f t="shared" si="2"/>
        <v>100</v>
      </c>
    </row>
    <row r="60" spans="1:5" ht="14.25" customHeight="1">
      <c r="A60" s="255"/>
      <c r="B60" s="48" t="s">
        <v>292</v>
      </c>
      <c r="C60" s="50">
        <f>C61-C64</f>
        <v>-31400</v>
      </c>
      <c r="D60" s="50">
        <f>D61-D64</f>
        <v>-186545</v>
      </c>
      <c r="E60" s="51" t="s">
        <v>251</v>
      </c>
    </row>
    <row r="61" spans="1:5" ht="14.25" customHeight="1">
      <c r="A61" s="283">
        <v>930000</v>
      </c>
      <c r="B61" s="254" t="s">
        <v>293</v>
      </c>
      <c r="C61" s="56">
        <f>SUM(C62:C63)</f>
        <v>365000</v>
      </c>
      <c r="D61" s="56">
        <f>SUM(D62:D63)</f>
        <v>360000</v>
      </c>
      <c r="E61" s="58">
        <f aca="true" t="shared" si="3" ref="E61:E67">IF(C61&gt;0,D61/C61*100,0)</f>
        <v>98.63013698630137</v>
      </c>
    </row>
    <row r="62" spans="1:5" ht="14.25" customHeight="1">
      <c r="A62" s="255">
        <v>931000</v>
      </c>
      <c r="B62" s="69" t="s">
        <v>294</v>
      </c>
      <c r="C62" s="62">
        <f>Finansiranje!C25</f>
        <v>35000</v>
      </c>
      <c r="D62" s="62">
        <f>Finansiranje!D25</f>
        <v>44000</v>
      </c>
      <c r="E62" s="316">
        <f t="shared" si="3"/>
        <v>125.71428571428571</v>
      </c>
    </row>
    <row r="63" spans="1:5" ht="12.75">
      <c r="A63" s="255">
        <v>938000</v>
      </c>
      <c r="B63" s="69" t="s">
        <v>337</v>
      </c>
      <c r="C63" s="88">
        <f>Finansiranje!C27</f>
        <v>330000</v>
      </c>
      <c r="D63" s="88">
        <f>Finansiranje!D27</f>
        <v>316000</v>
      </c>
      <c r="E63" s="316">
        <f t="shared" si="3"/>
        <v>95.75757575757575</v>
      </c>
    </row>
    <row r="64" spans="1:5" ht="14.25" customHeight="1">
      <c r="A64" s="283">
        <v>630000</v>
      </c>
      <c r="B64" s="254" t="s">
        <v>295</v>
      </c>
      <c r="C64" s="56">
        <f>SUM(C65:C66)</f>
        <v>396400</v>
      </c>
      <c r="D64" s="56">
        <f>SUM(D65:D66)</f>
        <v>546545</v>
      </c>
      <c r="E64" s="58">
        <f t="shared" si="3"/>
        <v>137.8771442986882</v>
      </c>
    </row>
    <row r="65" spans="1:5" ht="14.25" customHeight="1">
      <c r="A65" s="255">
        <v>631000</v>
      </c>
      <c r="B65" s="69" t="s">
        <v>296</v>
      </c>
      <c r="C65" s="88">
        <f>Finansiranje!C31</f>
        <v>79600</v>
      </c>
      <c r="D65" s="88">
        <f>Finansiranje!D31</f>
        <v>126000</v>
      </c>
      <c r="E65" s="316">
        <f t="shared" si="3"/>
        <v>158.29145728643218</v>
      </c>
    </row>
    <row r="66" spans="1:5" ht="14.25" customHeight="1">
      <c r="A66" s="255">
        <v>638000</v>
      </c>
      <c r="B66" s="69" t="s">
        <v>301</v>
      </c>
      <c r="C66" s="88">
        <f>Finansiranje!C35</f>
        <v>316800</v>
      </c>
      <c r="D66" s="88">
        <f>Finansiranje!D35</f>
        <v>420545</v>
      </c>
      <c r="E66" s="316">
        <f t="shared" si="3"/>
        <v>132.74779040404042</v>
      </c>
    </row>
    <row r="67" spans="1:5" ht="18.75" customHeight="1">
      <c r="A67" s="255"/>
      <c r="B67" s="91" t="s">
        <v>391</v>
      </c>
      <c r="C67" s="50">
        <f>Finansiranje!C38</f>
        <v>320000</v>
      </c>
      <c r="D67" s="50">
        <f>Finansiranje!D38</f>
        <v>440000</v>
      </c>
      <c r="E67" s="51">
        <f t="shared" si="3"/>
        <v>137.5</v>
      </c>
    </row>
    <row r="68" spans="1:5" ht="20.25" customHeight="1" thickBot="1">
      <c r="A68" s="280"/>
      <c r="B68" s="95" t="s">
        <v>297</v>
      </c>
      <c r="C68" s="96">
        <f>C46+C47</f>
        <v>0</v>
      </c>
      <c r="D68" s="96">
        <f>D46+D47</f>
        <v>0</v>
      </c>
      <c r="E68" s="98" t="s">
        <v>251</v>
      </c>
    </row>
    <row r="69" spans="1:5" ht="20.25" customHeight="1" thickTop="1">
      <c r="A69" s="110"/>
      <c r="B69" s="111"/>
      <c r="C69" s="112"/>
      <c r="D69" s="112"/>
      <c r="E69" s="113"/>
    </row>
    <row r="70" spans="1:5" ht="17.25" customHeight="1">
      <c r="A70" s="22"/>
      <c r="B70" s="20"/>
      <c r="C70" s="23"/>
      <c r="D70" s="23"/>
      <c r="E70" s="23"/>
    </row>
    <row r="71" spans="1:5" ht="20.25" customHeight="1" hidden="1">
      <c r="A71" s="3"/>
      <c r="B71" s="391" t="s">
        <v>558</v>
      </c>
      <c r="C71" s="391">
        <f>C7+C8+C9+C10+C11+C12+C14+C15+C16+C17+C18+C20+C22+C39+C40+C41+C50+C55+C62+C63+C67</f>
        <v>27920000</v>
      </c>
      <c r="D71" s="391"/>
      <c r="E71" s="20"/>
    </row>
    <row r="72" spans="1:5" ht="32.25" customHeight="1" hidden="1">
      <c r="A72" s="3"/>
      <c r="B72" s="391" t="s">
        <v>559</v>
      </c>
      <c r="C72" s="391">
        <f>C25+C26+C27+C28+C29+C30+C31+C32+C34+C35+C43+C44+C45+C52+C58+C59+C65+C66</f>
        <v>27920000</v>
      </c>
      <c r="D72" s="391"/>
      <c r="E72" s="20"/>
    </row>
    <row r="73" spans="1:7" ht="16.5" customHeight="1">
      <c r="A73" s="3"/>
      <c r="B73" s="33"/>
      <c r="C73" s="20"/>
      <c r="D73" s="20"/>
      <c r="E73" s="20"/>
      <c r="G73" s="1"/>
    </row>
    <row r="74" spans="1:5" ht="0.75" customHeight="1">
      <c r="A74" s="4"/>
      <c r="B74" s="397"/>
      <c r="C74" s="397">
        <f>C71-C72</f>
        <v>0</v>
      </c>
      <c r="D74" s="397"/>
      <c r="E74" s="23"/>
    </row>
    <row r="75" spans="1:2" ht="15.75" customHeight="1">
      <c r="A75" s="23"/>
      <c r="B75" s="23"/>
    </row>
    <row r="76" spans="1:4" ht="12.75">
      <c r="A76" s="23"/>
      <c r="B76" s="23"/>
      <c r="C76" s="23"/>
      <c r="D76" s="23"/>
    </row>
    <row r="77" spans="1:5" ht="17.25" customHeight="1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4"/>
      <c r="D79" s="24"/>
      <c r="E79" s="24"/>
    </row>
    <row r="80" spans="1:2" ht="12.75">
      <c r="A80" s="23"/>
      <c r="B80" s="23"/>
    </row>
    <row r="81" spans="1:2" ht="14.25" customHeight="1">
      <c r="A81" s="23"/>
      <c r="B81" s="23"/>
    </row>
    <row r="82" spans="1:2" ht="16.5" customHeight="1">
      <c r="A82" s="23"/>
      <c r="B82" s="23"/>
    </row>
    <row r="83" spans="1:2" ht="12.75">
      <c r="A83" s="23"/>
      <c r="B83" s="23"/>
    </row>
    <row r="84" spans="1:2" ht="12.75">
      <c r="A84" s="23"/>
      <c r="B84" s="23"/>
    </row>
    <row r="85" spans="1:2" ht="15" customHeight="1">
      <c r="A85" s="23"/>
      <c r="B85" s="23"/>
    </row>
    <row r="86" spans="1:2" ht="12.75">
      <c r="A86" s="23"/>
      <c r="B86" s="23"/>
    </row>
    <row r="87" spans="1:2" ht="26.25" customHeight="1">
      <c r="A87" s="23"/>
      <c r="B87" s="23"/>
    </row>
    <row r="88" spans="1:2" ht="12.75">
      <c r="A88" s="23"/>
      <c r="B88" s="23"/>
    </row>
    <row r="89" spans="1:2" ht="12.75">
      <c r="A89" s="23"/>
      <c r="B89" s="23"/>
    </row>
    <row r="90" spans="1:2" ht="12.75">
      <c r="A90" s="23"/>
      <c r="B90" s="23"/>
    </row>
    <row r="91" spans="1:2" ht="12.75">
      <c r="A91" s="23"/>
      <c r="B91" s="23"/>
    </row>
    <row r="92" spans="1:2" ht="12.75">
      <c r="A92" s="23"/>
      <c r="B92" s="23"/>
    </row>
    <row r="93" spans="1:2" ht="12.75">
      <c r="A93" s="23"/>
      <c r="B93" s="23"/>
    </row>
    <row r="94" spans="1:2" ht="15.75" customHeight="1">
      <c r="A94" s="23"/>
      <c r="B94" s="23"/>
    </row>
    <row r="95" spans="1:6" ht="12.75">
      <c r="A95" s="23"/>
      <c r="B95" s="23"/>
      <c r="F95" s="2"/>
    </row>
    <row r="96" spans="1:2" ht="12.75">
      <c r="A96" s="23"/>
      <c r="B96" s="23"/>
    </row>
    <row r="97" spans="1:2" ht="12.75">
      <c r="A97" s="23"/>
      <c r="B97" s="23"/>
    </row>
    <row r="98" spans="1:2" ht="12.75" customHeight="1">
      <c r="A98" s="23"/>
      <c r="B98" s="23"/>
    </row>
    <row r="99" spans="1:2" ht="12.75">
      <c r="A99" s="23"/>
      <c r="B99" s="23"/>
    </row>
    <row r="100" spans="1:2" ht="12.75">
      <c r="A100" s="23"/>
      <c r="B100" s="23"/>
    </row>
    <row r="101" spans="1:2" ht="12.75">
      <c r="A101" s="23"/>
      <c r="B101" s="23"/>
    </row>
    <row r="102" spans="1:2" ht="12.75">
      <c r="A102" s="23"/>
      <c r="B102" s="23"/>
    </row>
    <row r="103" spans="1:2" ht="12.75">
      <c r="A103" s="23"/>
      <c r="B103" s="23"/>
    </row>
    <row r="104" spans="1:2" ht="12.75">
      <c r="A104" s="23"/>
      <c r="B104" s="23"/>
    </row>
    <row r="105" spans="1:2" ht="12.75">
      <c r="A105" s="23"/>
      <c r="B105" s="23"/>
    </row>
    <row r="106" spans="1:2" ht="12.75">
      <c r="A106" s="23"/>
      <c r="B106" s="23"/>
    </row>
    <row r="107" spans="1:2" ht="12.75">
      <c r="A107" s="23"/>
      <c r="B107" s="23"/>
    </row>
    <row r="108" spans="1:2" ht="12.75">
      <c r="A108" s="23"/>
      <c r="B108" s="23"/>
    </row>
    <row r="109" spans="1:2" ht="12.75">
      <c r="A109" s="23"/>
      <c r="B109" s="23"/>
    </row>
    <row r="110" spans="1:2" ht="12.75">
      <c r="A110" s="23"/>
      <c r="B110" s="23"/>
    </row>
    <row r="111" spans="1:6" s="21" customFormat="1" ht="12.75">
      <c r="A111" s="23"/>
      <c r="B111" s="23"/>
      <c r="F111"/>
    </row>
    <row r="112" spans="1:6" s="21" customFormat="1" ht="12.75">
      <c r="A112" s="23"/>
      <c r="B112" s="23"/>
      <c r="F112"/>
    </row>
    <row r="113" spans="1:6" s="21" customFormat="1" ht="12.75">
      <c r="A113" s="23"/>
      <c r="B113" s="23"/>
      <c r="F113"/>
    </row>
    <row r="114" spans="1:6" s="21" customFormat="1" ht="12.75">
      <c r="A114" s="23"/>
      <c r="B114" s="23"/>
      <c r="F114"/>
    </row>
    <row r="115" spans="1:6" s="21" customFormat="1" ht="12.75">
      <c r="A115" s="23"/>
      <c r="B115" s="23"/>
      <c r="F115"/>
    </row>
    <row r="116" spans="1:6" s="21" customFormat="1" ht="12.75">
      <c r="A116" s="23"/>
      <c r="B116" s="23"/>
      <c r="F116"/>
    </row>
    <row r="117" spans="1:6" s="21" customFormat="1" ht="12.75">
      <c r="A117" s="23"/>
      <c r="B117" s="23"/>
      <c r="F117"/>
    </row>
    <row r="118" spans="1:6" s="21" customFormat="1" ht="12.75">
      <c r="A118" s="23"/>
      <c r="B118" s="23"/>
      <c r="F118"/>
    </row>
    <row r="119" spans="1:6" s="21" customFormat="1" ht="12.75">
      <c r="A119" s="23"/>
      <c r="B119" s="23"/>
      <c r="F119"/>
    </row>
    <row r="120" spans="1:6" s="21" customFormat="1" ht="12.75">
      <c r="A120" s="23"/>
      <c r="B120" s="23"/>
      <c r="F120"/>
    </row>
    <row r="121" spans="1:6" s="21" customFormat="1" ht="12.75">
      <c r="A121" s="23"/>
      <c r="B121" s="23"/>
      <c r="F121"/>
    </row>
    <row r="122" spans="1:6" s="21" customFormat="1" ht="12.75">
      <c r="A122" s="23"/>
      <c r="B122" s="23"/>
      <c r="F122"/>
    </row>
    <row r="123" spans="1:6" s="21" customFormat="1" ht="12.75">
      <c r="A123" s="23"/>
      <c r="B123" s="23"/>
      <c r="F123"/>
    </row>
    <row r="124" spans="1:6" s="21" customFormat="1" ht="12.75">
      <c r="A124" s="23"/>
      <c r="B124" s="23"/>
      <c r="F124"/>
    </row>
    <row r="125" spans="1:6" s="21" customFormat="1" ht="12.75">
      <c r="A125" s="23"/>
      <c r="B125" s="23"/>
      <c r="F125"/>
    </row>
    <row r="126" spans="1:6" s="21" customFormat="1" ht="12.75">
      <c r="A126" s="23"/>
      <c r="B126" s="23"/>
      <c r="F126"/>
    </row>
    <row r="127" spans="1:6" s="21" customFormat="1" ht="12.75">
      <c r="A127" s="23"/>
      <c r="B127" s="23"/>
      <c r="F127"/>
    </row>
    <row r="128" spans="1:6" s="21" customFormat="1" ht="12.75">
      <c r="A128" s="23"/>
      <c r="B128" s="23"/>
      <c r="F128"/>
    </row>
    <row r="129" spans="1:6" s="21" customFormat="1" ht="12.75">
      <c r="A129" s="23"/>
      <c r="B129" s="23"/>
      <c r="F129"/>
    </row>
    <row r="130" spans="1:6" s="21" customFormat="1" ht="12.75">
      <c r="A130" s="23"/>
      <c r="B130" s="23"/>
      <c r="F130"/>
    </row>
    <row r="131" spans="1:6" s="21" customFormat="1" ht="12.75">
      <c r="A131" s="23"/>
      <c r="B131" s="23"/>
      <c r="F131"/>
    </row>
    <row r="132" spans="1:6" s="21" customFormat="1" ht="12.75">
      <c r="A132" s="23"/>
      <c r="B132" s="23"/>
      <c r="F132"/>
    </row>
    <row r="133" spans="1:6" s="21" customFormat="1" ht="12.75">
      <c r="A133" s="23"/>
      <c r="B133" s="23"/>
      <c r="F133"/>
    </row>
    <row r="134" spans="1:6" s="21" customFormat="1" ht="12.75">
      <c r="A134" s="23"/>
      <c r="B134" s="23"/>
      <c r="F134"/>
    </row>
    <row r="135" spans="1:6" s="21" customFormat="1" ht="12.75">
      <c r="A135" s="23"/>
      <c r="B135" s="23"/>
      <c r="F135"/>
    </row>
    <row r="136" spans="1:6" s="21" customFormat="1" ht="12.75">
      <c r="A136" s="23"/>
      <c r="B136" s="23"/>
      <c r="F136"/>
    </row>
    <row r="137" spans="1:6" s="21" customFormat="1" ht="12.75">
      <c r="A137" s="23"/>
      <c r="B137" s="23"/>
      <c r="F137"/>
    </row>
    <row r="138" spans="1:6" s="21" customFormat="1" ht="12.75">
      <c r="A138" s="23"/>
      <c r="B138" s="23"/>
      <c r="F138"/>
    </row>
    <row r="139" spans="1:6" s="21" customFormat="1" ht="12.75">
      <c r="A139" s="23"/>
      <c r="B139" s="23"/>
      <c r="F139"/>
    </row>
    <row r="140" spans="1:6" s="21" customFormat="1" ht="12.75">
      <c r="A140" s="23"/>
      <c r="B140" s="23"/>
      <c r="F140"/>
    </row>
    <row r="141" spans="1:6" s="21" customFormat="1" ht="12.75">
      <c r="A141" s="23"/>
      <c r="B141" s="23"/>
      <c r="F141"/>
    </row>
    <row r="142" spans="1:6" s="21" customFormat="1" ht="12.75">
      <c r="A142" s="23"/>
      <c r="B142" s="23"/>
      <c r="F142"/>
    </row>
    <row r="143" spans="1:5" ht="12.75">
      <c r="A143" s="23"/>
      <c r="B143" s="3"/>
      <c r="C143" s="23"/>
      <c r="D143" s="23"/>
      <c r="E143" s="23"/>
    </row>
    <row r="144" spans="1:5" ht="12.75">
      <c r="A144" s="4"/>
      <c r="B144" s="3"/>
      <c r="C144" s="23"/>
      <c r="D144" s="23"/>
      <c r="E144" s="23"/>
    </row>
    <row r="145" spans="1:5" ht="12.75">
      <c r="A145" s="4"/>
      <c r="B145" s="3"/>
      <c r="C145" s="23"/>
      <c r="D145" s="23"/>
      <c r="E145" s="23"/>
    </row>
    <row r="146" spans="1:5" ht="12.75">
      <c r="A146" s="4"/>
      <c r="B146" s="3"/>
      <c r="C146" s="23"/>
      <c r="D146" s="23"/>
      <c r="E146" s="23"/>
    </row>
    <row r="147" spans="1:5" ht="12.75">
      <c r="A147" s="4"/>
      <c r="B147" s="3"/>
      <c r="C147" s="23"/>
      <c r="D147" s="23"/>
      <c r="E147" s="23"/>
    </row>
    <row r="148" spans="1:5" ht="12.75">
      <c r="A148" s="4"/>
      <c r="B148" s="3"/>
      <c r="C148" s="23"/>
      <c r="D148" s="23"/>
      <c r="E148" s="23"/>
    </row>
    <row r="149" spans="1:5" ht="12.75">
      <c r="A149" s="4"/>
      <c r="B149" s="3"/>
      <c r="C149" s="23"/>
      <c r="D149" s="23"/>
      <c r="E149" s="23"/>
    </row>
    <row r="150" spans="1:5" ht="12.75">
      <c r="A150" s="4"/>
      <c r="B150" s="3"/>
      <c r="C150" s="23"/>
      <c r="D150" s="23"/>
      <c r="E150" s="23"/>
    </row>
    <row r="151" spans="1:5" ht="12.75">
      <c r="A151" s="4"/>
      <c r="B151" s="3"/>
      <c r="C151" s="23"/>
      <c r="D151" s="23"/>
      <c r="E151" s="23"/>
    </row>
    <row r="152" spans="1:5" ht="12.75">
      <c r="A152" s="4"/>
      <c r="B152" s="3"/>
      <c r="C152" s="23"/>
      <c r="D152" s="23"/>
      <c r="E152" s="23"/>
    </row>
    <row r="153" spans="1:5" ht="12.75">
      <c r="A153" s="4"/>
      <c r="B153" s="3"/>
      <c r="C153" s="23"/>
      <c r="D153" s="23"/>
      <c r="E153" s="23"/>
    </row>
    <row r="154" spans="1:5" ht="12.75">
      <c r="A154" s="4"/>
      <c r="B154" s="3"/>
      <c r="C154" s="23"/>
      <c r="D154" s="23"/>
      <c r="E154" s="23"/>
    </row>
    <row r="155" spans="1:6" s="21" customFormat="1" ht="12.75">
      <c r="A155" s="4"/>
      <c r="B155" s="3"/>
      <c r="C155" s="23"/>
      <c r="D155" s="23"/>
      <c r="E155" s="23"/>
      <c r="F155"/>
    </row>
    <row r="156" spans="1:6" s="21" customFormat="1" ht="12.75">
      <c r="A156" s="4"/>
      <c r="B156" s="3"/>
      <c r="C156" s="23"/>
      <c r="D156" s="23"/>
      <c r="E156" s="23"/>
      <c r="F156"/>
    </row>
    <row r="157" spans="1:6" s="21" customFormat="1" ht="12.75">
      <c r="A157" s="4"/>
      <c r="B157" s="3"/>
      <c r="C157" s="23"/>
      <c r="D157" s="23"/>
      <c r="E157" s="23"/>
      <c r="F157"/>
    </row>
    <row r="158" spans="1:6" s="21" customFormat="1" ht="12.75">
      <c r="A158" s="4"/>
      <c r="B158" s="3"/>
      <c r="C158" s="23"/>
      <c r="D158" s="23"/>
      <c r="E158" s="23"/>
      <c r="F158"/>
    </row>
    <row r="159" spans="1:6" s="21" customFormat="1" ht="12.75">
      <c r="A159" s="4"/>
      <c r="B159" s="3"/>
      <c r="C159" s="23"/>
      <c r="D159" s="23"/>
      <c r="E159" s="23"/>
      <c r="F159"/>
    </row>
    <row r="160" spans="1:6" s="21" customFormat="1" ht="12.75">
      <c r="A160" s="4"/>
      <c r="B160" s="3"/>
      <c r="C160" s="23"/>
      <c r="D160" s="23"/>
      <c r="E160" s="23"/>
      <c r="F160"/>
    </row>
    <row r="161" spans="1:6" s="21" customFormat="1" ht="12.75">
      <c r="A161" s="4"/>
      <c r="B161" s="3"/>
      <c r="C161" s="23"/>
      <c r="D161" s="23"/>
      <c r="E161" s="23"/>
      <c r="F161"/>
    </row>
    <row r="162" spans="1:6" s="21" customFormat="1" ht="12.75">
      <c r="A162" s="4"/>
      <c r="B162" s="3"/>
      <c r="C162" s="23"/>
      <c r="D162" s="23"/>
      <c r="E162" s="23"/>
      <c r="F162"/>
    </row>
    <row r="163" spans="1:6" s="21" customFormat="1" ht="12.75">
      <c r="A163" s="4"/>
      <c r="B163" s="3"/>
      <c r="C163" s="23"/>
      <c r="D163" s="23"/>
      <c r="E163" s="23"/>
      <c r="F163"/>
    </row>
    <row r="164" spans="1:6" s="21" customFormat="1" ht="12.75">
      <c r="A164" s="4"/>
      <c r="B164" s="3"/>
      <c r="C164" s="23"/>
      <c r="D164" s="23"/>
      <c r="E164" s="23"/>
      <c r="F164"/>
    </row>
    <row r="165" spans="1:6" s="21" customFormat="1" ht="12.75">
      <c r="A165" s="4"/>
      <c r="B165" s="3"/>
      <c r="C165" s="23"/>
      <c r="D165" s="23"/>
      <c r="E165" s="23"/>
      <c r="F165"/>
    </row>
    <row r="166" spans="1:6" s="21" customFormat="1" ht="12.75">
      <c r="A166" s="4"/>
      <c r="B166" s="3"/>
      <c r="C166" s="23"/>
      <c r="D166" s="23"/>
      <c r="E166" s="23"/>
      <c r="F166"/>
    </row>
    <row r="167" spans="1:6" s="21" customFormat="1" ht="12.75">
      <c r="A167" s="4"/>
      <c r="B167" s="3"/>
      <c r="C167" s="23"/>
      <c r="D167" s="23"/>
      <c r="E167" s="23"/>
      <c r="F167"/>
    </row>
    <row r="168" spans="1:6" s="21" customFormat="1" ht="12.75">
      <c r="A168" s="4"/>
      <c r="B168" s="3"/>
      <c r="C168" s="23"/>
      <c r="D168" s="23"/>
      <c r="E168" s="23"/>
      <c r="F168"/>
    </row>
    <row r="169" spans="1:6" s="21" customFormat="1" ht="12.75">
      <c r="A169" s="4"/>
      <c r="B169"/>
      <c r="C169" s="23"/>
      <c r="D169" s="23"/>
      <c r="E169" s="23"/>
      <c r="F169"/>
    </row>
  </sheetData>
  <sheetProtection/>
  <mergeCells count="6">
    <mergeCell ref="A1:E1"/>
    <mergeCell ref="A2:A3"/>
    <mergeCell ref="B2:B3"/>
    <mergeCell ref="E2:E3"/>
    <mergeCell ref="C2:C3"/>
    <mergeCell ref="D2:D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3" manualBreakCount="3">
    <brk id="30" max="4" man="1"/>
    <brk id="56" max="4" man="1"/>
    <brk id="74" max="4" man="1"/>
  </rowBreaks>
  <colBreaks count="1" manualBreakCount="1">
    <brk id="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"/>
  <sheetViews>
    <sheetView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H91" sqref="H91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5" width="16.421875" style="21" customWidth="1"/>
    <col min="6" max="6" width="10.7109375" style="21" customWidth="1"/>
    <col min="7" max="7" width="10.00390625" style="21" customWidth="1"/>
    <col min="8" max="8" width="25.421875" style="0" customWidth="1"/>
    <col min="9" max="9" width="11.7109375" style="0" bestFit="1" customWidth="1"/>
  </cols>
  <sheetData>
    <row r="1" spans="1:7" ht="39.75" customHeight="1" thickBot="1">
      <c r="A1" s="493" t="s">
        <v>593</v>
      </c>
      <c r="B1" s="493"/>
      <c r="C1" s="493"/>
      <c r="D1" s="493"/>
      <c r="E1" s="493"/>
      <c r="F1" s="493"/>
      <c r="G1" s="493"/>
    </row>
    <row r="2" spans="1:8" ht="18.75" customHeight="1" thickTop="1">
      <c r="A2" s="505" t="s">
        <v>56</v>
      </c>
      <c r="B2" s="507" t="s">
        <v>230</v>
      </c>
      <c r="C2" s="507" t="s">
        <v>194</v>
      </c>
      <c r="D2" s="502" t="s">
        <v>667</v>
      </c>
      <c r="E2" s="502" t="s">
        <v>668</v>
      </c>
      <c r="F2" s="509" t="s">
        <v>107</v>
      </c>
      <c r="G2" s="511" t="s">
        <v>112</v>
      </c>
      <c r="H2" s="504"/>
    </row>
    <row r="3" spans="1:8" ht="29.25" customHeight="1">
      <c r="A3" s="506"/>
      <c r="B3" s="508"/>
      <c r="C3" s="508"/>
      <c r="D3" s="503"/>
      <c r="E3" s="503"/>
      <c r="F3" s="510"/>
      <c r="G3" s="512"/>
      <c r="H3" s="504"/>
    </row>
    <row r="4" spans="1:8" s="5" customFormat="1" ht="12.75" customHeight="1">
      <c r="A4" s="99">
        <v>1</v>
      </c>
      <c r="B4" s="100">
        <v>2</v>
      </c>
      <c r="C4" s="100">
        <v>3</v>
      </c>
      <c r="D4" s="100">
        <v>4</v>
      </c>
      <c r="E4" s="100">
        <v>5</v>
      </c>
      <c r="F4" s="100" t="s">
        <v>565</v>
      </c>
      <c r="G4" s="101">
        <v>7</v>
      </c>
      <c r="H4" s="108"/>
    </row>
    <row r="5" spans="1:8" ht="19.5" customHeight="1">
      <c r="A5" s="41"/>
      <c r="B5" s="42"/>
      <c r="C5" s="43" t="s">
        <v>231</v>
      </c>
      <c r="D5" s="44">
        <f>D6+D22+D84+D89</f>
        <v>25213000</v>
      </c>
      <c r="E5" s="44">
        <f>E6+E22+E84+E89</f>
        <v>26625000</v>
      </c>
      <c r="F5" s="44">
        <f>IF(D5&gt;0,E5/D5*100,0)</f>
        <v>105.6002855669694</v>
      </c>
      <c r="G5" s="45">
        <f aca="true" t="shared" si="0" ref="G5:G36">E5/$E$110*100</f>
        <v>98.72080088987765</v>
      </c>
      <c r="H5" s="109"/>
    </row>
    <row r="6" spans="1:8" ht="15" customHeight="1">
      <c r="A6" s="46">
        <v>710000</v>
      </c>
      <c r="B6" s="47"/>
      <c r="C6" s="48" t="s">
        <v>203</v>
      </c>
      <c r="D6" s="49">
        <f>D7+D9+D12+D14+D18+D20</f>
        <v>14897000</v>
      </c>
      <c r="E6" s="49">
        <f>E7+E9+E12+E14+E18+E20</f>
        <v>15566000</v>
      </c>
      <c r="F6" s="50">
        <f aca="true" t="shared" si="1" ref="F6:F68">IF(D6&gt;0,E6/D6*100,0)</f>
        <v>104.49083708129155</v>
      </c>
      <c r="G6" s="159">
        <f t="shared" si="0"/>
        <v>57.71598071931776</v>
      </c>
      <c r="H6" s="109"/>
    </row>
    <row r="7" spans="1:8" ht="18.75" customHeight="1" hidden="1">
      <c r="A7" s="52">
        <v>711100</v>
      </c>
      <c r="B7" s="53"/>
      <c r="C7" s="54" t="s">
        <v>178</v>
      </c>
      <c r="D7" s="55">
        <f>SUM(D8)</f>
        <v>0</v>
      </c>
      <c r="E7" s="55">
        <f>SUM(E8)</f>
        <v>0</v>
      </c>
      <c r="F7" s="56">
        <f t="shared" si="1"/>
        <v>0</v>
      </c>
      <c r="G7" s="58">
        <f t="shared" si="0"/>
        <v>0</v>
      </c>
      <c r="H7" s="109"/>
    </row>
    <row r="8" spans="1:8" ht="12" customHeight="1" hidden="1">
      <c r="A8" s="59">
        <v>711113</v>
      </c>
      <c r="B8" s="60"/>
      <c r="C8" s="61" t="s">
        <v>204</v>
      </c>
      <c r="D8" s="62">
        <v>0</v>
      </c>
      <c r="E8" s="62"/>
      <c r="F8" s="75">
        <f t="shared" si="1"/>
        <v>0</v>
      </c>
      <c r="G8" s="76">
        <f t="shared" si="0"/>
        <v>0</v>
      </c>
      <c r="H8" s="109"/>
    </row>
    <row r="9" spans="1:8" ht="15" customHeight="1">
      <c r="A9" s="46">
        <v>713000</v>
      </c>
      <c r="B9" s="47"/>
      <c r="C9" s="65" t="s">
        <v>4</v>
      </c>
      <c r="D9" s="55">
        <f>SUM(D10:D11)</f>
        <v>1355000</v>
      </c>
      <c r="E9" s="55">
        <f>SUM(E10:E11)</f>
        <v>1600000</v>
      </c>
      <c r="F9" s="56">
        <f t="shared" si="1"/>
        <v>118.08118081180811</v>
      </c>
      <c r="G9" s="58">
        <f t="shared" si="0"/>
        <v>5.932517612161662</v>
      </c>
      <c r="H9" s="109"/>
    </row>
    <row r="10" spans="1:9" ht="14.25" customHeight="1">
      <c r="A10" s="59" t="s">
        <v>5</v>
      </c>
      <c r="B10" s="60"/>
      <c r="C10" s="66" t="s">
        <v>205</v>
      </c>
      <c r="D10" s="62">
        <v>360000</v>
      </c>
      <c r="E10" s="481">
        <v>360000</v>
      </c>
      <c r="F10" s="114">
        <f t="shared" si="1"/>
        <v>100</v>
      </c>
      <c r="G10" s="316">
        <f t="shared" si="0"/>
        <v>1.3348164627363739</v>
      </c>
      <c r="H10" s="109"/>
      <c r="I10" s="1"/>
    </row>
    <row r="11" spans="1:8" ht="14.25" customHeight="1">
      <c r="A11" s="59" t="s">
        <v>6</v>
      </c>
      <c r="B11" s="60"/>
      <c r="C11" s="67" t="s">
        <v>7</v>
      </c>
      <c r="D11" s="62">
        <v>995000</v>
      </c>
      <c r="E11" s="62">
        <v>1240000</v>
      </c>
      <c r="F11" s="114">
        <f t="shared" si="1"/>
        <v>124.62311557788945</v>
      </c>
      <c r="G11" s="316">
        <f t="shared" si="0"/>
        <v>4.597701149425287</v>
      </c>
      <c r="H11" s="109"/>
    </row>
    <row r="12" spans="1:8" ht="15" customHeight="1">
      <c r="A12" s="46">
        <v>714000</v>
      </c>
      <c r="B12" s="47"/>
      <c r="C12" s="65" t="s">
        <v>8</v>
      </c>
      <c r="D12" s="55">
        <f>SUM(D13:D13)</f>
        <v>265000</v>
      </c>
      <c r="E12" s="55">
        <f>SUM(E13:E13)</f>
        <v>265000</v>
      </c>
      <c r="F12" s="56">
        <f t="shared" si="1"/>
        <v>100</v>
      </c>
      <c r="G12" s="58">
        <f t="shared" si="0"/>
        <v>0.9825732295142751</v>
      </c>
      <c r="H12" s="109"/>
    </row>
    <row r="13" spans="1:8" ht="14.25" customHeight="1">
      <c r="A13" s="68" t="s">
        <v>350</v>
      </c>
      <c r="B13" s="47"/>
      <c r="C13" s="69" t="s">
        <v>317</v>
      </c>
      <c r="D13" s="62">
        <v>265000</v>
      </c>
      <c r="E13" s="62">
        <v>265000</v>
      </c>
      <c r="F13" s="114">
        <f t="shared" si="1"/>
        <v>100</v>
      </c>
      <c r="G13" s="316">
        <f t="shared" si="0"/>
        <v>0.9825732295142751</v>
      </c>
      <c r="H13" s="109"/>
    </row>
    <row r="14" spans="1:8" ht="14.25" customHeight="1">
      <c r="A14" s="46">
        <v>715000</v>
      </c>
      <c r="B14" s="47"/>
      <c r="C14" s="65" t="s">
        <v>146</v>
      </c>
      <c r="D14" s="55">
        <f>SUM(D15:D17)</f>
        <v>2000</v>
      </c>
      <c r="E14" s="55">
        <f>SUM(E15:E17)</f>
        <v>1000</v>
      </c>
      <c r="F14" s="56">
        <f t="shared" si="1"/>
        <v>50</v>
      </c>
      <c r="G14" s="58">
        <f t="shared" si="0"/>
        <v>0.0037078235076010383</v>
      </c>
      <c r="H14" s="109"/>
    </row>
    <row r="15" spans="1:8" ht="14.25" customHeight="1">
      <c r="A15" s="70">
        <v>715110</v>
      </c>
      <c r="B15" s="71"/>
      <c r="C15" s="66" t="s">
        <v>395</v>
      </c>
      <c r="D15" s="62">
        <v>2000</v>
      </c>
      <c r="E15" s="62">
        <v>1000</v>
      </c>
      <c r="F15" s="114">
        <f t="shared" si="1"/>
        <v>50</v>
      </c>
      <c r="G15" s="316">
        <f t="shared" si="0"/>
        <v>0.0037078235076010383</v>
      </c>
      <c r="H15" s="109"/>
    </row>
    <row r="16" spans="1:8" ht="14.25" customHeight="1" hidden="1">
      <c r="A16" s="59">
        <v>715210</v>
      </c>
      <c r="B16" s="60"/>
      <c r="C16" s="67" t="s">
        <v>396</v>
      </c>
      <c r="D16" s="62">
        <v>0</v>
      </c>
      <c r="E16" s="62"/>
      <c r="F16" s="50">
        <f t="shared" si="1"/>
        <v>0</v>
      </c>
      <c r="G16" s="45">
        <f t="shared" si="0"/>
        <v>0</v>
      </c>
      <c r="H16" s="109"/>
    </row>
    <row r="17" spans="1:8" ht="14.25" customHeight="1" hidden="1">
      <c r="A17" s="59">
        <v>715310</v>
      </c>
      <c r="B17" s="60"/>
      <c r="C17" s="67" t="s">
        <v>394</v>
      </c>
      <c r="D17" s="62">
        <v>0</v>
      </c>
      <c r="E17" s="62"/>
      <c r="F17" s="50">
        <f t="shared" si="1"/>
        <v>0</v>
      </c>
      <c r="G17" s="45">
        <f t="shared" si="0"/>
        <v>0</v>
      </c>
      <c r="H17" s="109"/>
    </row>
    <row r="18" spans="1:8" ht="17.25" customHeight="1">
      <c r="A18" s="46">
        <v>717000</v>
      </c>
      <c r="B18" s="47"/>
      <c r="C18" s="72" t="s">
        <v>282</v>
      </c>
      <c r="D18" s="55">
        <f>SUM(D19)</f>
        <v>13200000</v>
      </c>
      <c r="E18" s="55">
        <f>SUM(E19)</f>
        <v>13550000</v>
      </c>
      <c r="F18" s="56">
        <f t="shared" si="1"/>
        <v>102.65151515151516</v>
      </c>
      <c r="G18" s="58">
        <f t="shared" si="0"/>
        <v>50.24100852799407</v>
      </c>
      <c r="H18" s="109"/>
    </row>
    <row r="19" spans="1:8" ht="14.25" customHeight="1">
      <c r="A19" s="73" t="s">
        <v>422</v>
      </c>
      <c r="B19" s="71"/>
      <c r="C19" s="67" t="s">
        <v>282</v>
      </c>
      <c r="D19" s="62">
        <v>13200000</v>
      </c>
      <c r="E19" s="62">
        <v>13550000</v>
      </c>
      <c r="F19" s="114">
        <f t="shared" si="1"/>
        <v>102.65151515151516</v>
      </c>
      <c r="G19" s="316">
        <f t="shared" si="0"/>
        <v>50.24100852799407</v>
      </c>
      <c r="H19" s="311"/>
    </row>
    <row r="20" spans="1:8" ht="14.25" customHeight="1">
      <c r="A20" s="46">
        <v>719000</v>
      </c>
      <c r="B20" s="47"/>
      <c r="C20" s="65" t="s">
        <v>283</v>
      </c>
      <c r="D20" s="55">
        <f>SUM(D21)</f>
        <v>75000</v>
      </c>
      <c r="E20" s="55">
        <f>SUM(E21)</f>
        <v>150000</v>
      </c>
      <c r="F20" s="56">
        <f t="shared" si="1"/>
        <v>200</v>
      </c>
      <c r="G20" s="58">
        <f t="shared" si="0"/>
        <v>0.5561735261401557</v>
      </c>
      <c r="H20" s="109"/>
    </row>
    <row r="21" spans="1:8" ht="14.25" customHeight="1">
      <c r="A21" s="59">
        <v>719113</v>
      </c>
      <c r="B21" s="60"/>
      <c r="C21" s="66" t="s">
        <v>9</v>
      </c>
      <c r="D21" s="62">
        <v>75000</v>
      </c>
      <c r="E21" s="481">
        <v>150000</v>
      </c>
      <c r="F21" s="114">
        <f t="shared" si="1"/>
        <v>200</v>
      </c>
      <c r="G21" s="316">
        <f t="shared" si="0"/>
        <v>0.5561735261401557</v>
      </c>
      <c r="H21" s="109"/>
    </row>
    <row r="22" spans="1:8" ht="18" customHeight="1">
      <c r="A22" s="46">
        <v>720000</v>
      </c>
      <c r="B22" s="47"/>
      <c r="C22" s="48" t="s">
        <v>206</v>
      </c>
      <c r="D22" s="49">
        <f>D23+D31+D76+D78+D82</f>
        <v>8536600</v>
      </c>
      <c r="E22" s="49">
        <f>E23+E31+E76+E78+E82</f>
        <v>8966300</v>
      </c>
      <c r="F22" s="50">
        <f t="shared" si="1"/>
        <v>105.03361994236582</v>
      </c>
      <c r="G22" s="159">
        <f t="shared" si="0"/>
        <v>33.245457916203186</v>
      </c>
      <c r="H22" s="109"/>
    </row>
    <row r="23" spans="1:8" ht="18" customHeight="1">
      <c r="A23" s="46">
        <v>721000</v>
      </c>
      <c r="B23" s="47"/>
      <c r="C23" s="54" t="s">
        <v>147</v>
      </c>
      <c r="D23" s="55">
        <f>D24+D29</f>
        <v>409900</v>
      </c>
      <c r="E23" s="55">
        <f>E24+E29</f>
        <v>371410</v>
      </c>
      <c r="F23" s="56">
        <f t="shared" si="1"/>
        <v>90.60990485484265</v>
      </c>
      <c r="G23" s="58">
        <f t="shared" si="0"/>
        <v>1.3771227289581016</v>
      </c>
      <c r="H23" s="109"/>
    </row>
    <row r="24" spans="1:8" ht="18" customHeight="1">
      <c r="A24" s="52">
        <v>721200</v>
      </c>
      <c r="B24" s="53"/>
      <c r="C24" s="65" t="s">
        <v>148</v>
      </c>
      <c r="D24" s="74">
        <f>SUM(D25:D28)</f>
        <v>408600</v>
      </c>
      <c r="E24" s="74">
        <f>SUM(E25:E28)</f>
        <v>371410</v>
      </c>
      <c r="F24" s="75">
        <f t="shared" si="1"/>
        <v>90.89818893783651</v>
      </c>
      <c r="G24" s="76">
        <f t="shared" si="0"/>
        <v>1.3771227289581016</v>
      </c>
      <c r="H24" s="109"/>
    </row>
    <row r="25" spans="1:8" ht="14.25" customHeight="1">
      <c r="A25" s="59">
        <v>721222</v>
      </c>
      <c r="B25" s="60"/>
      <c r="C25" s="66" t="s">
        <v>595</v>
      </c>
      <c r="D25" s="62">
        <v>21000</v>
      </c>
      <c r="E25" s="62">
        <v>17100</v>
      </c>
      <c r="F25" s="114">
        <f t="shared" si="1"/>
        <v>81.42857142857143</v>
      </c>
      <c r="G25" s="316">
        <f t="shared" si="0"/>
        <v>0.06340378197997774</v>
      </c>
      <c r="H25" s="109"/>
    </row>
    <row r="26" spans="1:8" ht="14.25" customHeight="1">
      <c r="A26" s="115">
        <v>721222</v>
      </c>
      <c r="B26" s="60"/>
      <c r="C26" s="66" t="s">
        <v>484</v>
      </c>
      <c r="D26" s="62">
        <v>49600</v>
      </c>
      <c r="E26" s="62">
        <v>46000</v>
      </c>
      <c r="F26" s="114">
        <f t="shared" si="1"/>
        <v>92.74193548387096</v>
      </c>
      <c r="G26" s="316">
        <f t="shared" si="0"/>
        <v>0.17055988134964778</v>
      </c>
      <c r="H26" s="109"/>
    </row>
    <row r="27" spans="1:8" ht="14.25" customHeight="1">
      <c r="A27" s="59">
        <v>721223</v>
      </c>
      <c r="B27" s="60"/>
      <c r="C27" s="67" t="s">
        <v>10</v>
      </c>
      <c r="D27" s="62">
        <v>325000</v>
      </c>
      <c r="E27" s="62">
        <v>295000</v>
      </c>
      <c r="F27" s="114">
        <f t="shared" si="1"/>
        <v>90.76923076923077</v>
      </c>
      <c r="G27" s="316">
        <f t="shared" si="0"/>
        <v>1.0938079347423062</v>
      </c>
      <c r="H27" s="109"/>
    </row>
    <row r="28" spans="1:8" ht="14.25" customHeight="1">
      <c r="A28" s="59">
        <v>721224</v>
      </c>
      <c r="B28" s="60"/>
      <c r="C28" s="67" t="s">
        <v>207</v>
      </c>
      <c r="D28" s="62">
        <v>13000</v>
      </c>
      <c r="E28" s="62">
        <v>13310</v>
      </c>
      <c r="F28" s="114">
        <f t="shared" si="1"/>
        <v>102.38461538461539</v>
      </c>
      <c r="G28" s="316">
        <f t="shared" si="0"/>
        <v>0.049351130886169825</v>
      </c>
      <c r="H28" s="109"/>
    </row>
    <row r="29" spans="1:8" ht="18" customHeight="1">
      <c r="A29" s="52">
        <v>721300</v>
      </c>
      <c r="B29" s="53"/>
      <c r="C29" s="65" t="s">
        <v>149</v>
      </c>
      <c r="D29" s="74">
        <f>SUM(D30:D30)</f>
        <v>1300</v>
      </c>
      <c r="E29" s="74">
        <f>SUM(E30:E30)</f>
        <v>0</v>
      </c>
      <c r="F29" s="75">
        <f t="shared" si="1"/>
        <v>0</v>
      </c>
      <c r="G29" s="76">
        <f t="shared" si="0"/>
        <v>0</v>
      </c>
      <c r="H29" s="109"/>
    </row>
    <row r="30" spans="1:8" ht="14.25" customHeight="1">
      <c r="A30" s="70">
        <v>721310</v>
      </c>
      <c r="B30" s="71"/>
      <c r="C30" s="66" t="s">
        <v>208</v>
      </c>
      <c r="D30" s="62">
        <v>1300</v>
      </c>
      <c r="E30" s="62">
        <v>0</v>
      </c>
      <c r="F30" s="114">
        <f t="shared" si="1"/>
        <v>0</v>
      </c>
      <c r="G30" s="316">
        <f t="shared" si="0"/>
        <v>0</v>
      </c>
      <c r="H30" s="109"/>
    </row>
    <row r="31" spans="1:8" ht="17.25" customHeight="1">
      <c r="A31" s="46">
        <v>722000</v>
      </c>
      <c r="B31" s="47"/>
      <c r="C31" s="65" t="s">
        <v>150</v>
      </c>
      <c r="D31" s="55">
        <f>D32+D35+D44+D54</f>
        <v>7951200</v>
      </c>
      <c r="E31" s="55">
        <f>E32+E35+E44+E54</f>
        <v>8388290</v>
      </c>
      <c r="F31" s="56">
        <f t="shared" si="1"/>
        <v>105.4971576617366</v>
      </c>
      <c r="G31" s="58">
        <f t="shared" si="0"/>
        <v>31.102298850574712</v>
      </c>
      <c r="H31" s="109"/>
    </row>
    <row r="32" spans="1:8" ht="17.25" customHeight="1">
      <c r="A32" s="52">
        <v>722100</v>
      </c>
      <c r="B32" s="53"/>
      <c r="C32" s="65" t="s">
        <v>11</v>
      </c>
      <c r="D32" s="77">
        <f>SUM(D33:D34)</f>
        <v>115000</v>
      </c>
      <c r="E32" s="77">
        <f>SUM(E33:E34)</f>
        <v>178000</v>
      </c>
      <c r="F32" s="75">
        <f t="shared" si="1"/>
        <v>154.78260869565216</v>
      </c>
      <c r="G32" s="76">
        <f t="shared" si="0"/>
        <v>0.6599925843529848</v>
      </c>
      <c r="H32" s="109"/>
    </row>
    <row r="33" spans="1:8" ht="13.5" customHeight="1" hidden="1">
      <c r="A33" s="59">
        <v>722118</v>
      </c>
      <c r="B33" s="53"/>
      <c r="C33" s="66" t="s">
        <v>325</v>
      </c>
      <c r="D33" s="62">
        <v>0</v>
      </c>
      <c r="E33" s="62"/>
      <c r="F33" s="75">
        <f t="shared" si="1"/>
        <v>0</v>
      </c>
      <c r="G33" s="76">
        <f t="shared" si="0"/>
        <v>0</v>
      </c>
      <c r="H33" s="109"/>
    </row>
    <row r="34" spans="1:8" ht="14.25" customHeight="1">
      <c r="A34" s="59" t="s">
        <v>634</v>
      </c>
      <c r="B34" s="60"/>
      <c r="C34" s="66" t="s">
        <v>596</v>
      </c>
      <c r="D34" s="88">
        <v>115000</v>
      </c>
      <c r="E34" s="88">
        <v>178000</v>
      </c>
      <c r="F34" s="114">
        <f t="shared" si="1"/>
        <v>154.78260869565216</v>
      </c>
      <c r="G34" s="316">
        <f t="shared" si="0"/>
        <v>0.6599925843529848</v>
      </c>
      <c r="H34" s="109"/>
    </row>
    <row r="35" spans="1:8" ht="15.75" customHeight="1">
      <c r="A35" s="52">
        <v>722300</v>
      </c>
      <c r="B35" s="53"/>
      <c r="C35" s="65" t="s">
        <v>12</v>
      </c>
      <c r="D35" s="77">
        <f>SUM(D36:D43)</f>
        <v>375500</v>
      </c>
      <c r="E35" s="77">
        <f>SUM(E36:E43)</f>
        <v>459000</v>
      </c>
      <c r="F35" s="75">
        <f t="shared" si="1"/>
        <v>122.23701731025301</v>
      </c>
      <c r="G35" s="76">
        <f t="shared" si="0"/>
        <v>1.7018909899888766</v>
      </c>
      <c r="H35" s="109"/>
    </row>
    <row r="36" spans="1:8" ht="14.25" customHeight="1">
      <c r="A36" s="59">
        <v>722312</v>
      </c>
      <c r="B36" s="60"/>
      <c r="C36" s="66" t="s">
        <v>262</v>
      </c>
      <c r="D36" s="62">
        <v>40000</v>
      </c>
      <c r="E36" s="481">
        <v>40000</v>
      </c>
      <c r="F36" s="114">
        <f t="shared" si="1"/>
        <v>100</v>
      </c>
      <c r="G36" s="316">
        <f t="shared" si="0"/>
        <v>0.14831294030404152</v>
      </c>
      <c r="H36" s="311"/>
    </row>
    <row r="37" spans="1:8" ht="24" customHeight="1">
      <c r="A37" s="59">
        <v>722314</v>
      </c>
      <c r="B37" s="60"/>
      <c r="C37" s="66" t="s">
        <v>263</v>
      </c>
      <c r="D37" s="62">
        <v>50000</v>
      </c>
      <c r="E37" s="481">
        <v>70000</v>
      </c>
      <c r="F37" s="114">
        <f t="shared" si="1"/>
        <v>140</v>
      </c>
      <c r="G37" s="316">
        <f aca="true" t="shared" si="2" ref="G37:G60">E37/$E$110*100</f>
        <v>0.25954764553207266</v>
      </c>
      <c r="H37" s="109"/>
    </row>
    <row r="38" spans="1:8" ht="23.25" customHeight="1" hidden="1">
      <c r="A38" s="59">
        <v>722316</v>
      </c>
      <c r="B38" s="60"/>
      <c r="C38" s="66" t="s">
        <v>13</v>
      </c>
      <c r="D38" s="62">
        <v>0</v>
      </c>
      <c r="E38" s="62">
        <v>0</v>
      </c>
      <c r="F38" s="114">
        <f t="shared" si="1"/>
        <v>0</v>
      </c>
      <c r="G38" s="316">
        <f t="shared" si="2"/>
        <v>0</v>
      </c>
      <c r="H38" s="109"/>
    </row>
    <row r="39" spans="1:8" ht="25.5" customHeight="1" hidden="1">
      <c r="A39" s="59">
        <v>722317</v>
      </c>
      <c r="B39" s="60"/>
      <c r="C39" s="66" t="s">
        <v>264</v>
      </c>
      <c r="D39" s="62">
        <v>0</v>
      </c>
      <c r="E39" s="62"/>
      <c r="F39" s="114">
        <f t="shared" si="1"/>
        <v>0</v>
      </c>
      <c r="G39" s="316">
        <f t="shared" si="2"/>
        <v>0</v>
      </c>
      <c r="H39" s="109"/>
    </row>
    <row r="40" spans="1:8" ht="14.25" customHeight="1">
      <c r="A40" s="59">
        <v>722318</v>
      </c>
      <c r="B40" s="60"/>
      <c r="C40" s="66" t="s">
        <v>14</v>
      </c>
      <c r="D40" s="88">
        <v>2500</v>
      </c>
      <c r="E40" s="88">
        <v>2000</v>
      </c>
      <c r="F40" s="114">
        <f t="shared" si="1"/>
        <v>80</v>
      </c>
      <c r="G40" s="316">
        <f t="shared" si="2"/>
        <v>0.007415647015202077</v>
      </c>
      <c r="H40" s="109"/>
    </row>
    <row r="41" spans="1:8" ht="24.75" customHeight="1">
      <c r="A41" s="59">
        <v>722319</v>
      </c>
      <c r="B41" s="60"/>
      <c r="C41" s="66" t="s">
        <v>486</v>
      </c>
      <c r="D41" s="88">
        <v>250000</v>
      </c>
      <c r="E41" s="88">
        <v>314000</v>
      </c>
      <c r="F41" s="114">
        <f t="shared" si="1"/>
        <v>125.6</v>
      </c>
      <c r="G41" s="316">
        <f t="shared" si="2"/>
        <v>1.164256581386726</v>
      </c>
      <c r="H41" s="311"/>
    </row>
    <row r="42" spans="1:8" ht="24" customHeight="1">
      <c r="A42" s="59">
        <v>722391</v>
      </c>
      <c r="B42" s="60"/>
      <c r="C42" s="66" t="s">
        <v>15</v>
      </c>
      <c r="D42" s="62">
        <v>13000</v>
      </c>
      <c r="E42" s="62">
        <v>13000</v>
      </c>
      <c r="F42" s="114">
        <f t="shared" si="1"/>
        <v>100</v>
      </c>
      <c r="G42" s="316">
        <f t="shared" si="2"/>
        <v>0.048201705598813496</v>
      </c>
      <c r="H42" s="109"/>
    </row>
    <row r="43" spans="1:8" ht="14.25" customHeight="1">
      <c r="A43" s="59">
        <v>722396</v>
      </c>
      <c r="B43" s="60"/>
      <c r="C43" s="66" t="s">
        <v>151</v>
      </c>
      <c r="D43" s="62">
        <v>20000</v>
      </c>
      <c r="E43" s="481">
        <v>20000</v>
      </c>
      <c r="F43" s="114">
        <f t="shared" si="1"/>
        <v>100</v>
      </c>
      <c r="G43" s="316">
        <f t="shared" si="2"/>
        <v>0.07415647015202076</v>
      </c>
      <c r="H43" s="109"/>
    </row>
    <row r="44" spans="1:8" ht="14.25" customHeight="1">
      <c r="A44" s="52">
        <v>722400</v>
      </c>
      <c r="B44" s="53"/>
      <c r="C44" s="72" t="s">
        <v>16</v>
      </c>
      <c r="D44" s="75">
        <f>SUM(D45:D53)</f>
        <v>1216000</v>
      </c>
      <c r="E44" s="75">
        <f>SUM(E45:E53)</f>
        <v>1289000</v>
      </c>
      <c r="F44" s="75">
        <f t="shared" si="1"/>
        <v>106.0032894736842</v>
      </c>
      <c r="G44" s="76">
        <f t="shared" si="2"/>
        <v>4.779384501297739</v>
      </c>
      <c r="H44" s="109"/>
    </row>
    <row r="45" spans="1:8" ht="14.25" customHeight="1">
      <c r="A45" s="59">
        <v>722411</v>
      </c>
      <c r="B45" s="60"/>
      <c r="C45" s="66" t="s">
        <v>618</v>
      </c>
      <c r="D45" s="62">
        <v>335000</v>
      </c>
      <c r="E45" s="62">
        <v>295000</v>
      </c>
      <c r="F45" s="114">
        <f t="shared" si="1"/>
        <v>88.05970149253731</v>
      </c>
      <c r="G45" s="316">
        <f t="shared" si="2"/>
        <v>1.0938079347423062</v>
      </c>
      <c r="H45" s="109"/>
    </row>
    <row r="46" spans="1:8" ht="14.25" customHeight="1">
      <c r="A46" s="59">
        <v>722424</v>
      </c>
      <c r="B46" s="60"/>
      <c r="C46" s="66" t="s">
        <v>209</v>
      </c>
      <c r="D46" s="62">
        <v>54000</v>
      </c>
      <c r="E46" s="62">
        <v>64000</v>
      </c>
      <c r="F46" s="114">
        <f t="shared" si="1"/>
        <v>118.5185185185185</v>
      </c>
      <c r="G46" s="316">
        <f t="shared" si="2"/>
        <v>0.23730070448646645</v>
      </c>
      <c r="H46" s="109"/>
    </row>
    <row r="47" spans="1:8" ht="14.25" customHeight="1">
      <c r="A47" s="59">
        <v>722425</v>
      </c>
      <c r="B47" s="60"/>
      <c r="C47" s="66" t="s">
        <v>210</v>
      </c>
      <c r="D47" s="62">
        <v>30000</v>
      </c>
      <c r="E47" s="62">
        <v>40000</v>
      </c>
      <c r="F47" s="114">
        <f t="shared" si="1"/>
        <v>133.33333333333331</v>
      </c>
      <c r="G47" s="316">
        <f t="shared" si="2"/>
        <v>0.14831294030404152</v>
      </c>
      <c r="H47" s="109"/>
    </row>
    <row r="48" spans="1:8" ht="26.25" customHeight="1">
      <c r="A48" s="59">
        <v>722435</v>
      </c>
      <c r="B48" s="60"/>
      <c r="C48" s="66" t="s">
        <v>599</v>
      </c>
      <c r="D48" s="88">
        <v>250000</v>
      </c>
      <c r="E48" s="88">
        <v>250000</v>
      </c>
      <c r="F48" s="114">
        <f t="shared" si="1"/>
        <v>100</v>
      </c>
      <c r="G48" s="316">
        <f t="shared" si="2"/>
        <v>0.9269558769002595</v>
      </c>
      <c r="H48" s="109"/>
    </row>
    <row r="49" spans="1:8" ht="24" customHeight="1">
      <c r="A49" s="59">
        <v>722437</v>
      </c>
      <c r="B49" s="60"/>
      <c r="C49" s="66" t="s">
        <v>220</v>
      </c>
      <c r="D49" s="62">
        <v>32000</v>
      </c>
      <c r="E49" s="62">
        <v>30000</v>
      </c>
      <c r="F49" s="114">
        <f t="shared" si="1"/>
        <v>93.75</v>
      </c>
      <c r="G49" s="316">
        <f t="shared" si="2"/>
        <v>0.11123470522803114</v>
      </c>
      <c r="H49" s="109"/>
    </row>
    <row r="50" spans="1:8" ht="26.25" customHeight="1">
      <c r="A50" s="70">
        <v>722440</v>
      </c>
      <c r="B50" s="71"/>
      <c r="C50" s="69" t="s">
        <v>379</v>
      </c>
      <c r="D50" s="62">
        <v>125000</v>
      </c>
      <c r="E50" s="62">
        <v>150000</v>
      </c>
      <c r="F50" s="114">
        <f t="shared" si="1"/>
        <v>120</v>
      </c>
      <c r="G50" s="316">
        <f t="shared" si="2"/>
        <v>0.5561735261401557</v>
      </c>
      <c r="H50" s="109"/>
    </row>
    <row r="51" spans="1:8" ht="24.75" customHeight="1">
      <c r="A51" s="59">
        <v>722461</v>
      </c>
      <c r="B51" s="60"/>
      <c r="C51" s="66" t="s">
        <v>55</v>
      </c>
      <c r="D51" s="62">
        <v>200000</v>
      </c>
      <c r="E51" s="62">
        <v>215000</v>
      </c>
      <c r="F51" s="114">
        <f t="shared" si="1"/>
        <v>107.5</v>
      </c>
      <c r="G51" s="316">
        <f t="shared" si="2"/>
        <v>0.7971820541342233</v>
      </c>
      <c r="H51" s="109"/>
    </row>
    <row r="52" spans="1:8" ht="13.5" customHeight="1">
      <c r="A52" s="59">
        <v>722467</v>
      </c>
      <c r="B52" s="60"/>
      <c r="C52" s="66" t="s">
        <v>17</v>
      </c>
      <c r="D52" s="62">
        <v>170000</v>
      </c>
      <c r="E52" s="62">
        <v>230000</v>
      </c>
      <c r="F52" s="114">
        <f t="shared" si="1"/>
        <v>135.29411764705884</v>
      </c>
      <c r="G52" s="316">
        <f t="shared" si="2"/>
        <v>0.8527994067482388</v>
      </c>
      <c r="H52" s="109"/>
    </row>
    <row r="53" spans="1:8" ht="24" customHeight="1">
      <c r="A53" s="59">
        <v>722491</v>
      </c>
      <c r="B53" s="60"/>
      <c r="C53" s="66" t="s">
        <v>261</v>
      </c>
      <c r="D53" s="62">
        <v>20000</v>
      </c>
      <c r="E53" s="62">
        <v>15000</v>
      </c>
      <c r="F53" s="114">
        <f t="shared" si="1"/>
        <v>75</v>
      </c>
      <c r="G53" s="316">
        <f t="shared" si="2"/>
        <v>0.05561735261401557</v>
      </c>
      <c r="H53" s="109"/>
    </row>
    <row r="54" spans="1:8" ht="16.5" customHeight="1">
      <c r="A54" s="78">
        <v>722500</v>
      </c>
      <c r="B54" s="79"/>
      <c r="C54" s="65" t="s">
        <v>489</v>
      </c>
      <c r="D54" s="75">
        <f>D55+D57+D68</f>
        <v>6244700</v>
      </c>
      <c r="E54" s="75">
        <f>E55+E57+E68</f>
        <v>6462290</v>
      </c>
      <c r="F54" s="75">
        <f t="shared" si="1"/>
        <v>103.48439476676221</v>
      </c>
      <c r="G54" s="76">
        <f t="shared" si="2"/>
        <v>23.961030774935114</v>
      </c>
      <c r="H54" s="109"/>
    </row>
    <row r="55" spans="1:8" ht="17.25" customHeight="1">
      <c r="A55" s="59"/>
      <c r="B55" s="347"/>
      <c r="C55" s="341" t="s">
        <v>597</v>
      </c>
      <c r="D55" s="343">
        <f>SUM(D56)</f>
        <v>8000</v>
      </c>
      <c r="E55" s="343">
        <f>SUM(E56)</f>
        <v>8000</v>
      </c>
      <c r="F55" s="75">
        <f t="shared" si="1"/>
        <v>100</v>
      </c>
      <c r="G55" s="76">
        <f t="shared" si="2"/>
        <v>0.029662588060808306</v>
      </c>
      <c r="H55" s="109"/>
    </row>
    <row r="56" spans="1:8" ht="16.5" customHeight="1">
      <c r="A56" s="59">
        <v>722521</v>
      </c>
      <c r="B56" s="347"/>
      <c r="C56" s="344" t="s">
        <v>598</v>
      </c>
      <c r="D56" s="114">
        <v>8000</v>
      </c>
      <c r="E56" s="482">
        <v>8000</v>
      </c>
      <c r="F56" s="114">
        <f t="shared" si="1"/>
        <v>100</v>
      </c>
      <c r="G56" s="316">
        <f t="shared" si="2"/>
        <v>0.029662588060808306</v>
      </c>
      <c r="H56" s="109"/>
    </row>
    <row r="57" spans="1:8" ht="15" customHeight="1">
      <c r="A57" s="59"/>
      <c r="B57" s="60"/>
      <c r="C57" s="346" t="s">
        <v>513</v>
      </c>
      <c r="D57" s="343">
        <f>SUM(D58:D67)</f>
        <v>5935000</v>
      </c>
      <c r="E57" s="343">
        <f>SUM(E58:E67)</f>
        <v>6124400</v>
      </c>
      <c r="F57" s="75">
        <f t="shared" si="1"/>
        <v>103.19123841617524</v>
      </c>
      <c r="G57" s="76">
        <f t="shared" si="2"/>
        <v>22.7081942899518</v>
      </c>
      <c r="H57" s="109"/>
    </row>
    <row r="58" spans="1:8" ht="14.25" customHeight="1">
      <c r="A58" s="115">
        <v>722561</v>
      </c>
      <c r="B58" s="60"/>
      <c r="C58" s="66" t="s">
        <v>475</v>
      </c>
      <c r="D58" s="62">
        <v>300000</v>
      </c>
      <c r="E58" s="62">
        <v>312000</v>
      </c>
      <c r="F58" s="114">
        <f t="shared" si="1"/>
        <v>104</v>
      </c>
      <c r="G58" s="316">
        <f t="shared" si="2"/>
        <v>1.1568409343715238</v>
      </c>
      <c r="H58" s="109"/>
    </row>
    <row r="59" spans="1:8" ht="14.25" customHeight="1">
      <c r="A59" s="115">
        <v>722562</v>
      </c>
      <c r="B59" s="60"/>
      <c r="C59" s="66" t="s">
        <v>476</v>
      </c>
      <c r="D59" s="62">
        <v>25000</v>
      </c>
      <c r="E59" s="62">
        <v>31400</v>
      </c>
      <c r="F59" s="114">
        <f t="shared" si="1"/>
        <v>125.6</v>
      </c>
      <c r="G59" s="316">
        <f t="shared" si="2"/>
        <v>0.11642565813867259</v>
      </c>
      <c r="H59" s="109"/>
    </row>
    <row r="60" spans="1:8" ht="14.25" customHeight="1">
      <c r="A60" s="115">
        <v>722565</v>
      </c>
      <c r="B60" s="60"/>
      <c r="C60" s="66" t="s">
        <v>521</v>
      </c>
      <c r="D60" s="62">
        <v>650000</v>
      </c>
      <c r="E60" s="62">
        <v>645000</v>
      </c>
      <c r="F60" s="114">
        <f t="shared" si="1"/>
        <v>99.23076923076923</v>
      </c>
      <c r="G60" s="316">
        <f t="shared" si="2"/>
        <v>2.39154616240267</v>
      </c>
      <c r="H60" s="109"/>
    </row>
    <row r="61" spans="1:8" ht="14.25" customHeight="1">
      <c r="A61" s="115">
        <v>722571</v>
      </c>
      <c r="B61" s="60"/>
      <c r="C61" s="66" t="s">
        <v>477</v>
      </c>
      <c r="D61" s="62">
        <v>4123000</v>
      </c>
      <c r="E61" s="62">
        <v>4195000</v>
      </c>
      <c r="F61" s="114">
        <f aca="true" t="shared" si="3" ref="F61:F67">IF(D61&gt;0,E62/D61*100,0)</f>
        <v>8.974048023284016</v>
      </c>
      <c r="G61" s="316">
        <f aca="true" t="shared" si="4" ref="G61:G67">E62/$E$110*100</f>
        <v>1.371894697812384</v>
      </c>
      <c r="H61" s="109"/>
    </row>
    <row r="62" spans="1:8" ht="14.25" customHeight="1">
      <c r="A62" s="115">
        <v>722575</v>
      </c>
      <c r="B62" s="60"/>
      <c r="C62" s="66" t="s">
        <v>481</v>
      </c>
      <c r="D62" s="62">
        <v>370000</v>
      </c>
      <c r="E62" s="62">
        <v>370000</v>
      </c>
      <c r="F62" s="114">
        <f t="shared" si="3"/>
        <v>10.81081081081081</v>
      </c>
      <c r="G62" s="316">
        <f t="shared" si="4"/>
        <v>0.14831294030404152</v>
      </c>
      <c r="H62" s="109"/>
    </row>
    <row r="63" spans="1:8" ht="14.25" customHeight="1">
      <c r="A63" s="115">
        <v>722576</v>
      </c>
      <c r="B63" s="60"/>
      <c r="C63" s="66" t="s">
        <v>589</v>
      </c>
      <c r="D63" s="62">
        <v>28000</v>
      </c>
      <c r="E63" s="62">
        <v>40000</v>
      </c>
      <c r="F63" s="114">
        <f t="shared" si="3"/>
        <v>892.8571428571429</v>
      </c>
      <c r="G63" s="316">
        <f t="shared" si="4"/>
        <v>0.9269558769002595</v>
      </c>
      <c r="H63" s="109"/>
    </row>
    <row r="64" spans="1:8" ht="26.25" customHeight="1">
      <c r="A64" s="115">
        <v>722577</v>
      </c>
      <c r="B64" s="60"/>
      <c r="C64" s="66" t="s">
        <v>482</v>
      </c>
      <c r="D64" s="62">
        <v>230000</v>
      </c>
      <c r="E64" s="62">
        <v>250000</v>
      </c>
      <c r="F64" s="114">
        <f t="shared" si="3"/>
        <v>117.3913043478261</v>
      </c>
      <c r="G64" s="316">
        <f t="shared" si="4"/>
        <v>1.0011123470522802</v>
      </c>
      <c r="H64" s="109"/>
    </row>
    <row r="65" spans="1:8" ht="14.25" customHeight="1">
      <c r="A65" s="115">
        <v>722578</v>
      </c>
      <c r="B65" s="60"/>
      <c r="C65" s="66" t="s">
        <v>478</v>
      </c>
      <c r="D65" s="62">
        <v>200000</v>
      </c>
      <c r="E65" s="62">
        <v>270000</v>
      </c>
      <c r="F65" s="114">
        <f t="shared" si="3"/>
        <v>2</v>
      </c>
      <c r="G65" s="316">
        <f t="shared" si="4"/>
        <v>0.014831294030404153</v>
      </c>
      <c r="H65" s="109"/>
    </row>
    <row r="66" spans="1:8" ht="14.25" customHeight="1">
      <c r="A66" s="115">
        <v>722583</v>
      </c>
      <c r="B66" s="60"/>
      <c r="C66" s="66" t="s">
        <v>479</v>
      </c>
      <c r="D66" s="62">
        <v>2000</v>
      </c>
      <c r="E66" s="62">
        <v>4000</v>
      </c>
      <c r="F66" s="114">
        <f t="shared" si="3"/>
        <v>350</v>
      </c>
      <c r="G66" s="316">
        <f t="shared" si="4"/>
        <v>0.025954764553207266</v>
      </c>
      <c r="H66" s="109"/>
    </row>
    <row r="67" spans="1:8" ht="14.25" customHeight="1">
      <c r="A67" s="115">
        <v>722589</v>
      </c>
      <c r="B67" s="60"/>
      <c r="C67" s="66" t="s">
        <v>480</v>
      </c>
      <c r="D67" s="62">
        <v>7000</v>
      </c>
      <c r="E67" s="62">
        <v>7000</v>
      </c>
      <c r="F67" s="114">
        <f t="shared" si="3"/>
        <v>4712.714285714285</v>
      </c>
      <c r="G67" s="316">
        <f t="shared" si="4"/>
        <v>1.2231738969225066</v>
      </c>
      <c r="H67" s="109"/>
    </row>
    <row r="68" spans="1:8" ht="20.25" customHeight="1">
      <c r="A68" s="115"/>
      <c r="B68" s="60"/>
      <c r="C68" s="65" t="s">
        <v>514</v>
      </c>
      <c r="D68" s="75">
        <f>SUM(D69:D75)</f>
        <v>301700</v>
      </c>
      <c r="E68" s="75">
        <f>SUM(E69:E75)</f>
        <v>329890</v>
      </c>
      <c r="F68" s="75">
        <f t="shared" si="1"/>
        <v>109.34371892608551</v>
      </c>
      <c r="G68" s="76">
        <f aca="true" t="shared" si="5" ref="G68:G96">E68/$E$110*100</f>
        <v>1.2231738969225066</v>
      </c>
      <c r="H68" s="109"/>
    </row>
    <row r="69" spans="1:8" ht="14.25" customHeight="1">
      <c r="A69" s="59">
        <v>722591</v>
      </c>
      <c r="B69" s="60"/>
      <c r="C69" s="67" t="s">
        <v>352</v>
      </c>
      <c r="D69" s="62">
        <v>50000</v>
      </c>
      <c r="E69" s="62">
        <v>55000</v>
      </c>
      <c r="F69" s="114">
        <f aca="true" t="shared" si="6" ref="F69:F110">IF(D69&gt;0,E69/D69*100,0)</f>
        <v>110.00000000000001</v>
      </c>
      <c r="G69" s="316">
        <f t="shared" si="5"/>
        <v>0.2039302929180571</v>
      </c>
      <c r="H69" s="109"/>
    </row>
    <row r="70" spans="1:8" ht="14.25" customHeight="1">
      <c r="A70" s="59">
        <v>722591</v>
      </c>
      <c r="B70" s="60"/>
      <c r="C70" s="67" t="s">
        <v>354</v>
      </c>
      <c r="D70" s="62">
        <v>227000</v>
      </c>
      <c r="E70" s="62">
        <v>227000</v>
      </c>
      <c r="F70" s="114">
        <f t="shared" si="6"/>
        <v>100</v>
      </c>
      <c r="G70" s="316">
        <f t="shared" si="5"/>
        <v>0.8416759362254356</v>
      </c>
      <c r="H70" s="109"/>
    </row>
    <row r="71" spans="1:8" ht="14.25" customHeight="1">
      <c r="A71" s="59">
        <v>722591</v>
      </c>
      <c r="B71" s="60"/>
      <c r="C71" s="67" t="s">
        <v>225</v>
      </c>
      <c r="D71" s="62">
        <v>4200</v>
      </c>
      <c r="E71" s="62">
        <v>4000</v>
      </c>
      <c r="F71" s="114">
        <f t="shared" si="6"/>
        <v>95.23809523809523</v>
      </c>
      <c r="G71" s="316">
        <f t="shared" si="5"/>
        <v>0.014831294030404153</v>
      </c>
      <c r="H71" s="109"/>
    </row>
    <row r="72" spans="1:8" ht="14.25" customHeight="1">
      <c r="A72" s="59">
        <v>722591</v>
      </c>
      <c r="B72" s="60"/>
      <c r="C72" s="66" t="s">
        <v>222</v>
      </c>
      <c r="D72" s="62">
        <v>17000</v>
      </c>
      <c r="E72" s="62">
        <v>17000</v>
      </c>
      <c r="F72" s="114">
        <f t="shared" si="6"/>
        <v>100</v>
      </c>
      <c r="G72" s="316">
        <f t="shared" si="5"/>
        <v>0.06303299962921764</v>
      </c>
      <c r="H72" s="109"/>
    </row>
    <row r="73" spans="1:8" ht="14.25" customHeight="1">
      <c r="A73" s="59">
        <v>722591</v>
      </c>
      <c r="B73" s="60"/>
      <c r="C73" s="67" t="s">
        <v>353</v>
      </c>
      <c r="D73" s="62">
        <v>1500</v>
      </c>
      <c r="E73" s="62">
        <v>25000</v>
      </c>
      <c r="F73" s="114">
        <f t="shared" si="6"/>
        <v>1666.6666666666667</v>
      </c>
      <c r="G73" s="316">
        <f t="shared" si="5"/>
        <v>0.09269558769002596</v>
      </c>
      <c r="H73" s="109"/>
    </row>
    <row r="74" spans="1:8" ht="14.25" customHeight="1">
      <c r="A74" s="59">
        <v>722591</v>
      </c>
      <c r="B74" s="60"/>
      <c r="C74" s="66" t="s">
        <v>355</v>
      </c>
      <c r="D74" s="62">
        <v>1100</v>
      </c>
      <c r="E74" s="62">
        <v>990</v>
      </c>
      <c r="F74" s="114">
        <f t="shared" si="6"/>
        <v>90</v>
      </c>
      <c r="G74" s="316">
        <f t="shared" si="5"/>
        <v>0.003670745272525028</v>
      </c>
      <c r="H74" s="109"/>
    </row>
    <row r="75" spans="1:8" ht="14.25" customHeight="1">
      <c r="A75" s="59">
        <v>722591</v>
      </c>
      <c r="B75" s="60"/>
      <c r="C75" s="66" t="s">
        <v>336</v>
      </c>
      <c r="D75" s="62">
        <v>900</v>
      </c>
      <c r="E75" s="62">
        <v>900</v>
      </c>
      <c r="F75" s="114">
        <f t="shared" si="6"/>
        <v>100</v>
      </c>
      <c r="G75" s="316">
        <f t="shared" si="5"/>
        <v>0.0033370411568409346</v>
      </c>
      <c r="H75" s="109"/>
    </row>
    <row r="76" spans="1:8" ht="16.5" customHeight="1">
      <c r="A76" s="46">
        <v>723000</v>
      </c>
      <c r="B76" s="47"/>
      <c r="C76" s="80" t="s">
        <v>18</v>
      </c>
      <c r="D76" s="81">
        <f>D77</f>
        <v>45000</v>
      </c>
      <c r="E76" s="81">
        <f>E77</f>
        <v>94000</v>
      </c>
      <c r="F76" s="56">
        <f t="shared" si="6"/>
        <v>208.8888888888889</v>
      </c>
      <c r="G76" s="58">
        <f t="shared" si="5"/>
        <v>0.3485354097144976</v>
      </c>
      <c r="H76" s="109"/>
    </row>
    <row r="77" spans="1:8" ht="25.5" customHeight="1">
      <c r="A77" s="59">
        <v>723121</v>
      </c>
      <c r="B77" s="60"/>
      <c r="C77" s="66" t="s">
        <v>653</v>
      </c>
      <c r="D77" s="114">
        <v>45000</v>
      </c>
      <c r="E77" s="114">
        <v>94000</v>
      </c>
      <c r="F77" s="114">
        <f t="shared" si="6"/>
        <v>208.8888888888889</v>
      </c>
      <c r="G77" s="316">
        <f t="shared" si="5"/>
        <v>0.3485354097144976</v>
      </c>
      <c r="H77" s="109"/>
    </row>
    <row r="78" spans="1:8" ht="30" customHeight="1">
      <c r="A78" s="358">
        <v>728000</v>
      </c>
      <c r="B78" s="342"/>
      <c r="C78" s="341" t="s">
        <v>633</v>
      </c>
      <c r="D78" s="315">
        <f>SUM(D80:D81)</f>
        <v>40500</v>
      </c>
      <c r="E78" s="315">
        <f>SUM(E79:E81)</f>
        <v>42600</v>
      </c>
      <c r="F78" s="56">
        <f t="shared" si="6"/>
        <v>105.18518518518518</v>
      </c>
      <c r="G78" s="58">
        <f t="shared" si="5"/>
        <v>0.15795328142380421</v>
      </c>
      <c r="H78" s="109"/>
    </row>
    <row r="79" spans="1:8" ht="27.75" customHeight="1">
      <c r="A79" s="115">
        <v>728169</v>
      </c>
      <c r="B79" s="342"/>
      <c r="C79" s="66" t="s">
        <v>635</v>
      </c>
      <c r="D79" s="62">
        <v>0</v>
      </c>
      <c r="E79" s="62">
        <v>600</v>
      </c>
      <c r="F79" s="114">
        <f>IF(D79&gt;0,E79/D79*100,0)</f>
        <v>0</v>
      </c>
      <c r="G79" s="316">
        <f t="shared" si="5"/>
        <v>0.002224694104560623</v>
      </c>
      <c r="H79" s="109"/>
    </row>
    <row r="80" spans="1:8" ht="15.75" customHeight="1">
      <c r="A80" s="115">
        <v>728211</v>
      </c>
      <c r="B80" s="60"/>
      <c r="C80" s="66" t="s">
        <v>515</v>
      </c>
      <c r="D80" s="62">
        <v>37000</v>
      </c>
      <c r="E80" s="62">
        <v>36000</v>
      </c>
      <c r="F80" s="114">
        <f t="shared" si="6"/>
        <v>97.2972972972973</v>
      </c>
      <c r="G80" s="316">
        <f t="shared" si="5"/>
        <v>0.13348164627363737</v>
      </c>
      <c r="H80" s="109"/>
    </row>
    <row r="81" spans="1:8" ht="29.25" customHeight="1">
      <c r="A81" s="115">
        <v>728251</v>
      </c>
      <c r="B81" s="60"/>
      <c r="C81" s="66" t="s">
        <v>516</v>
      </c>
      <c r="D81" s="62">
        <v>3500</v>
      </c>
      <c r="E81" s="62">
        <v>6000</v>
      </c>
      <c r="F81" s="114">
        <f t="shared" si="6"/>
        <v>171.42857142857142</v>
      </c>
      <c r="G81" s="316">
        <f t="shared" si="5"/>
        <v>0.02224694104560623</v>
      </c>
      <c r="H81" s="109"/>
    </row>
    <row r="82" spans="1:8" ht="16.5" customHeight="1">
      <c r="A82" s="46">
        <v>729000</v>
      </c>
      <c r="B82" s="47"/>
      <c r="C82" s="65" t="s">
        <v>19</v>
      </c>
      <c r="D82" s="81">
        <f>SUM(D83:D83)</f>
        <v>90000</v>
      </c>
      <c r="E82" s="81">
        <f>SUM(E83:E83)</f>
        <v>70000</v>
      </c>
      <c r="F82" s="56">
        <f t="shared" si="6"/>
        <v>77.77777777777779</v>
      </c>
      <c r="G82" s="58">
        <f t="shared" si="5"/>
        <v>0.25954764553207266</v>
      </c>
      <c r="H82" s="109"/>
    </row>
    <row r="83" spans="1:8" ht="15" customHeight="1">
      <c r="A83" s="59">
        <v>729124</v>
      </c>
      <c r="B83" s="60"/>
      <c r="C83" s="82" t="s">
        <v>19</v>
      </c>
      <c r="D83" s="62">
        <v>90000</v>
      </c>
      <c r="E83" s="62">
        <v>70000</v>
      </c>
      <c r="F83" s="114">
        <f t="shared" si="6"/>
        <v>77.77777777777779</v>
      </c>
      <c r="G83" s="316">
        <f t="shared" si="5"/>
        <v>0.25954764553207266</v>
      </c>
      <c r="H83" s="109"/>
    </row>
    <row r="84" spans="1:8" ht="16.5" customHeight="1">
      <c r="A84" s="83">
        <v>730000</v>
      </c>
      <c r="B84" s="84"/>
      <c r="C84" s="85" t="s">
        <v>211</v>
      </c>
      <c r="D84" s="49">
        <f>D85+D87</f>
        <v>0</v>
      </c>
      <c r="E84" s="49">
        <f>E85+E87</f>
        <v>0</v>
      </c>
      <c r="F84" s="50">
        <f t="shared" si="6"/>
        <v>0</v>
      </c>
      <c r="G84" s="159">
        <f t="shared" si="5"/>
        <v>0</v>
      </c>
      <c r="H84" s="109"/>
    </row>
    <row r="85" spans="1:8" ht="17.25" customHeight="1">
      <c r="A85" s="78">
        <v>731100</v>
      </c>
      <c r="B85" s="84"/>
      <c r="C85" s="86" t="s">
        <v>383</v>
      </c>
      <c r="D85" s="55">
        <f>SUM(D86)</f>
        <v>0</v>
      </c>
      <c r="E85" s="55">
        <f>SUM(E86)</f>
        <v>0</v>
      </c>
      <c r="F85" s="56">
        <f t="shared" si="6"/>
        <v>0</v>
      </c>
      <c r="G85" s="58">
        <f t="shared" si="5"/>
        <v>0</v>
      </c>
      <c r="H85" s="109"/>
    </row>
    <row r="86" spans="1:8" ht="18" customHeight="1">
      <c r="A86" s="73">
        <v>731100</v>
      </c>
      <c r="B86" s="84"/>
      <c r="C86" s="87" t="s">
        <v>383</v>
      </c>
      <c r="D86" s="88">
        <v>0</v>
      </c>
      <c r="E86" s="88">
        <v>0</v>
      </c>
      <c r="F86" s="114">
        <f t="shared" si="6"/>
        <v>0</v>
      </c>
      <c r="G86" s="316">
        <f t="shared" si="5"/>
        <v>0</v>
      </c>
      <c r="H86" s="109"/>
    </row>
    <row r="87" spans="1:8" ht="18" customHeight="1">
      <c r="A87" s="78">
        <v>731200</v>
      </c>
      <c r="B87" s="79"/>
      <c r="C87" s="86" t="s">
        <v>166</v>
      </c>
      <c r="D87" s="55">
        <f>SUM(D88:D88)</f>
        <v>0</v>
      </c>
      <c r="E87" s="55">
        <f>SUM(E88:E88)</f>
        <v>0</v>
      </c>
      <c r="F87" s="56">
        <f t="shared" si="6"/>
        <v>0</v>
      </c>
      <c r="G87" s="58">
        <f t="shared" si="5"/>
        <v>0</v>
      </c>
      <c r="H87" s="109"/>
    </row>
    <row r="88" spans="1:8" ht="15.75" customHeight="1">
      <c r="A88" s="73">
        <v>731200</v>
      </c>
      <c r="B88" s="90"/>
      <c r="C88" s="87" t="s">
        <v>166</v>
      </c>
      <c r="D88" s="62">
        <v>0</v>
      </c>
      <c r="E88" s="62">
        <v>0</v>
      </c>
      <c r="F88" s="114">
        <f t="shared" si="6"/>
        <v>0</v>
      </c>
      <c r="G88" s="316">
        <f t="shared" si="5"/>
        <v>0</v>
      </c>
      <c r="H88" s="109"/>
    </row>
    <row r="89" spans="1:8" s="2" customFormat="1" ht="19.5" customHeight="1">
      <c r="A89" s="83">
        <v>780000</v>
      </c>
      <c r="B89" s="84"/>
      <c r="C89" s="91" t="s">
        <v>284</v>
      </c>
      <c r="D89" s="49">
        <f>D90+D99</f>
        <v>1779400</v>
      </c>
      <c r="E89" s="49">
        <f>E90+E99</f>
        <v>2092700</v>
      </c>
      <c r="F89" s="50">
        <f t="shared" si="6"/>
        <v>117.60705855906485</v>
      </c>
      <c r="G89" s="159">
        <f t="shared" si="5"/>
        <v>7.7593622543566925</v>
      </c>
      <c r="H89" s="109"/>
    </row>
    <row r="90" spans="1:8" s="2" customFormat="1" ht="27.75" customHeight="1">
      <c r="A90" s="46">
        <v>787000</v>
      </c>
      <c r="B90" s="47"/>
      <c r="C90" s="80" t="s">
        <v>298</v>
      </c>
      <c r="D90" s="55">
        <f>SUM(D91:D98)</f>
        <v>1779400</v>
      </c>
      <c r="E90" s="55">
        <f>SUM(E91:E98)</f>
        <v>2092700</v>
      </c>
      <c r="F90" s="56">
        <f t="shared" si="6"/>
        <v>117.60705855906485</v>
      </c>
      <c r="G90" s="58">
        <f t="shared" si="5"/>
        <v>7.7593622543566925</v>
      </c>
      <c r="H90" s="109"/>
    </row>
    <row r="91" spans="1:8" s="2" customFormat="1" ht="25.5" customHeight="1">
      <c r="A91" s="70">
        <v>787200</v>
      </c>
      <c r="B91" s="71"/>
      <c r="C91" s="157" t="s">
        <v>212</v>
      </c>
      <c r="D91" s="62">
        <v>1228000</v>
      </c>
      <c r="E91" s="62">
        <v>1456000</v>
      </c>
      <c r="F91" s="114">
        <f t="shared" si="6"/>
        <v>118.56677524429968</v>
      </c>
      <c r="G91" s="316">
        <f t="shared" si="5"/>
        <v>5.398591027067112</v>
      </c>
      <c r="H91" s="109"/>
    </row>
    <row r="92" spans="1:9" s="2" customFormat="1" ht="39.75" customHeight="1">
      <c r="A92" s="70">
        <v>787200</v>
      </c>
      <c r="B92" s="71"/>
      <c r="C92" s="157" t="s">
        <v>320</v>
      </c>
      <c r="D92" s="62">
        <v>26500</v>
      </c>
      <c r="E92" s="62">
        <v>40000</v>
      </c>
      <c r="F92" s="114">
        <f t="shared" si="6"/>
        <v>150.9433962264151</v>
      </c>
      <c r="G92" s="316">
        <f t="shared" si="5"/>
        <v>0.14831294030404152</v>
      </c>
      <c r="H92" s="109"/>
      <c r="I92" s="369"/>
    </row>
    <row r="93" spans="1:9" s="2" customFormat="1" ht="25.5" customHeight="1">
      <c r="A93" s="115">
        <v>787200</v>
      </c>
      <c r="B93" s="71"/>
      <c r="C93" s="157" t="s">
        <v>384</v>
      </c>
      <c r="D93" s="62">
        <v>5000</v>
      </c>
      <c r="E93" s="62">
        <v>6000</v>
      </c>
      <c r="F93" s="114">
        <f t="shared" si="6"/>
        <v>120</v>
      </c>
      <c r="G93" s="316">
        <f t="shared" si="5"/>
        <v>0.02224694104560623</v>
      </c>
      <c r="H93" s="109"/>
      <c r="I93" s="369"/>
    </row>
    <row r="94" spans="1:9" s="2" customFormat="1" ht="23.25" customHeight="1">
      <c r="A94" s="70">
        <v>787200</v>
      </c>
      <c r="B94" s="71"/>
      <c r="C94" s="157" t="s">
        <v>397</v>
      </c>
      <c r="D94" s="62">
        <v>467000</v>
      </c>
      <c r="E94" s="62">
        <v>570000</v>
      </c>
      <c r="F94" s="114">
        <f t="shared" si="6"/>
        <v>122.0556745182013</v>
      </c>
      <c r="G94" s="316">
        <f t="shared" si="5"/>
        <v>2.1134593993325916</v>
      </c>
      <c r="H94" s="109"/>
      <c r="I94" s="369"/>
    </row>
    <row r="95" spans="1:8" s="2" customFormat="1" ht="25.5" customHeight="1">
      <c r="A95" s="70">
        <v>787200</v>
      </c>
      <c r="B95" s="71"/>
      <c r="C95" s="69" t="s">
        <v>550</v>
      </c>
      <c r="D95" s="62">
        <v>44000</v>
      </c>
      <c r="E95" s="62">
        <v>15000</v>
      </c>
      <c r="F95" s="114">
        <f t="shared" si="6"/>
        <v>34.090909090909086</v>
      </c>
      <c r="G95" s="316">
        <f t="shared" si="5"/>
        <v>0.05561735261401557</v>
      </c>
      <c r="H95" s="109"/>
    </row>
    <row r="96" spans="1:8" s="2" customFormat="1" ht="25.5">
      <c r="A96" s="70">
        <v>787200</v>
      </c>
      <c r="B96" s="71"/>
      <c r="C96" s="69" t="s">
        <v>342</v>
      </c>
      <c r="D96" s="62">
        <v>6000</v>
      </c>
      <c r="E96" s="62">
        <v>3700</v>
      </c>
      <c r="F96" s="114">
        <f t="shared" si="6"/>
        <v>61.66666666666667</v>
      </c>
      <c r="G96" s="316">
        <f t="shared" si="5"/>
        <v>0.013718946978123842</v>
      </c>
      <c r="H96" s="109"/>
    </row>
    <row r="97" spans="1:8" s="2" customFormat="1" ht="25.5">
      <c r="A97" s="70">
        <v>787300</v>
      </c>
      <c r="B97" s="71"/>
      <c r="C97" s="69" t="s">
        <v>351</v>
      </c>
      <c r="D97" s="62">
        <v>1200</v>
      </c>
      <c r="E97" s="62">
        <v>1000</v>
      </c>
      <c r="F97" s="114">
        <f t="shared" si="6"/>
        <v>83.33333333333334</v>
      </c>
      <c r="G97" s="316">
        <f aca="true" t="shared" si="7" ref="G97:G110">E97/$E$110*100</f>
        <v>0.0037078235076010383</v>
      </c>
      <c r="H97" s="109"/>
    </row>
    <row r="98" spans="1:8" s="2" customFormat="1" ht="25.5">
      <c r="A98" s="380">
        <v>787400</v>
      </c>
      <c r="B98" s="71"/>
      <c r="C98" s="69" t="s">
        <v>365</v>
      </c>
      <c r="D98" s="62">
        <v>1700</v>
      </c>
      <c r="E98" s="62">
        <v>1000</v>
      </c>
      <c r="F98" s="114">
        <f t="shared" si="6"/>
        <v>58.82352941176471</v>
      </c>
      <c r="G98" s="316">
        <f t="shared" si="7"/>
        <v>0.0037078235076010383</v>
      </c>
      <c r="H98" s="109"/>
    </row>
    <row r="99" spans="1:8" s="2" customFormat="1" ht="12.75" hidden="1">
      <c r="A99" s="117">
        <v>788000</v>
      </c>
      <c r="B99" s="118"/>
      <c r="C99" s="119" t="s">
        <v>421</v>
      </c>
      <c r="D99" s="55">
        <f>SUM(D100)</f>
        <v>0</v>
      </c>
      <c r="E99" s="55">
        <f>SUM(E100)</f>
        <v>0</v>
      </c>
      <c r="F99" s="56">
        <f t="shared" si="6"/>
        <v>0</v>
      </c>
      <c r="G99" s="58">
        <f t="shared" si="7"/>
        <v>0</v>
      </c>
      <c r="H99" s="109"/>
    </row>
    <row r="100" spans="1:8" s="2" customFormat="1" ht="21.75" customHeight="1" hidden="1">
      <c r="A100" s="70">
        <v>788100</v>
      </c>
      <c r="B100" s="71"/>
      <c r="C100" s="69" t="s">
        <v>557</v>
      </c>
      <c r="D100" s="62">
        <v>0</v>
      </c>
      <c r="E100" s="62"/>
      <c r="F100" s="114">
        <f t="shared" si="6"/>
        <v>0</v>
      </c>
      <c r="G100" s="316">
        <f t="shared" si="7"/>
        <v>0</v>
      </c>
      <c r="H100" s="109"/>
    </row>
    <row r="101" spans="1:8" ht="17.25" customHeight="1">
      <c r="A101" s="424">
        <v>810000</v>
      </c>
      <c r="B101" s="479"/>
      <c r="C101" s="92" t="s">
        <v>247</v>
      </c>
      <c r="D101" s="44">
        <f>D102+D104+D106+D108</f>
        <v>722000</v>
      </c>
      <c r="E101" s="44">
        <f>E102+E104+E106+E108</f>
        <v>345000</v>
      </c>
      <c r="F101" s="44">
        <f t="shared" si="6"/>
        <v>47.78393351800554</v>
      </c>
      <c r="G101" s="45">
        <f t="shared" si="7"/>
        <v>1.2791991101223583</v>
      </c>
      <c r="H101" s="109"/>
    </row>
    <row r="102" spans="1:8" ht="12" customHeight="1" hidden="1">
      <c r="A102" s="46">
        <v>811000</v>
      </c>
      <c r="B102" s="47"/>
      <c r="C102" s="80" t="s">
        <v>165</v>
      </c>
      <c r="D102" s="55">
        <f>SUM(D103:D103)</f>
        <v>0</v>
      </c>
      <c r="E102" s="55">
        <f>SUM(E103:E103)</f>
        <v>0</v>
      </c>
      <c r="F102" s="50">
        <f t="shared" si="6"/>
        <v>0</v>
      </c>
      <c r="G102" s="45">
        <f t="shared" si="7"/>
        <v>0</v>
      </c>
      <c r="H102" s="109"/>
    </row>
    <row r="103" spans="1:8" ht="11.25" customHeight="1" hidden="1">
      <c r="A103" s="59">
        <v>811110</v>
      </c>
      <c r="B103" s="93" t="s">
        <v>22</v>
      </c>
      <c r="C103" s="69" t="s">
        <v>446</v>
      </c>
      <c r="D103" s="62">
        <v>0</v>
      </c>
      <c r="E103" s="62">
        <v>0</v>
      </c>
      <c r="F103" s="50">
        <f t="shared" si="6"/>
        <v>0</v>
      </c>
      <c r="G103" s="45">
        <f t="shared" si="7"/>
        <v>0</v>
      </c>
      <c r="H103" s="109"/>
    </row>
    <row r="104" spans="1:8" ht="18" customHeight="1">
      <c r="A104" s="46">
        <v>813000</v>
      </c>
      <c r="B104" s="47"/>
      <c r="C104" s="80" t="s">
        <v>152</v>
      </c>
      <c r="D104" s="55">
        <f>SUM(D105:D105)</f>
        <v>680000</v>
      </c>
      <c r="E104" s="55">
        <f>SUM(E105:E105)</f>
        <v>300000</v>
      </c>
      <c r="F104" s="56">
        <f t="shared" si="6"/>
        <v>44.11764705882353</v>
      </c>
      <c r="G104" s="58">
        <f t="shared" si="7"/>
        <v>1.1123470522803114</v>
      </c>
      <c r="H104" s="109"/>
    </row>
    <row r="105" spans="1:8" ht="14.25" customHeight="1">
      <c r="A105" s="59">
        <v>813110</v>
      </c>
      <c r="B105" s="93" t="s">
        <v>22</v>
      </c>
      <c r="C105" s="69" t="s">
        <v>153</v>
      </c>
      <c r="D105" s="62">
        <v>680000</v>
      </c>
      <c r="E105" s="62">
        <v>300000</v>
      </c>
      <c r="F105" s="114">
        <f t="shared" si="6"/>
        <v>44.11764705882353</v>
      </c>
      <c r="G105" s="316">
        <f t="shared" si="7"/>
        <v>1.1123470522803114</v>
      </c>
      <c r="H105" s="109"/>
    </row>
    <row r="106" spans="1:8" ht="27" customHeight="1" hidden="1">
      <c r="A106" s="398">
        <v>814000</v>
      </c>
      <c r="B106" s="93"/>
      <c r="C106" s="119" t="s">
        <v>551</v>
      </c>
      <c r="D106" s="343">
        <f>SUM(D107)</f>
        <v>0</v>
      </c>
      <c r="E106" s="343">
        <f>SUM(E107)</f>
        <v>0</v>
      </c>
      <c r="F106" s="343">
        <f t="shared" si="6"/>
        <v>0</v>
      </c>
      <c r="G106" s="400">
        <f t="shared" si="7"/>
        <v>0</v>
      </c>
      <c r="H106" s="109"/>
    </row>
    <row r="107" spans="1:8" ht="18" customHeight="1" hidden="1">
      <c r="A107" s="396">
        <v>814112</v>
      </c>
      <c r="B107" s="93" t="s">
        <v>30</v>
      </c>
      <c r="C107" s="399" t="s">
        <v>552</v>
      </c>
      <c r="D107" s="62">
        <v>0</v>
      </c>
      <c r="E107" s="62"/>
      <c r="F107" s="114">
        <f t="shared" si="6"/>
        <v>0</v>
      </c>
      <c r="G107" s="316">
        <f t="shared" si="7"/>
        <v>0</v>
      </c>
      <c r="H107" s="109"/>
    </row>
    <row r="108" spans="1:8" ht="25.5" customHeight="1">
      <c r="A108" s="46">
        <v>816000</v>
      </c>
      <c r="B108" s="47"/>
      <c r="C108" s="80" t="s">
        <v>235</v>
      </c>
      <c r="D108" s="55">
        <f>SUM(D109)</f>
        <v>42000</v>
      </c>
      <c r="E108" s="55">
        <f>SUM(E109)</f>
        <v>45000</v>
      </c>
      <c r="F108" s="56">
        <f t="shared" si="6"/>
        <v>107.14285714285714</v>
      </c>
      <c r="G108" s="58">
        <f t="shared" si="7"/>
        <v>0.16685205784204674</v>
      </c>
      <c r="H108" s="109"/>
    </row>
    <row r="109" spans="1:8" ht="15" customHeight="1">
      <c r="A109" s="70">
        <v>816150</v>
      </c>
      <c r="B109" s="93" t="s">
        <v>30</v>
      </c>
      <c r="C109" s="69" t="s">
        <v>158</v>
      </c>
      <c r="D109" s="62">
        <v>42000</v>
      </c>
      <c r="E109" s="62">
        <v>45000</v>
      </c>
      <c r="F109" s="114">
        <f t="shared" si="6"/>
        <v>107.14285714285714</v>
      </c>
      <c r="G109" s="316">
        <f t="shared" si="7"/>
        <v>0.16685205784204674</v>
      </c>
      <c r="H109" s="109"/>
    </row>
    <row r="110" spans="1:8" ht="29.25" customHeight="1" thickBot="1">
      <c r="A110" s="356"/>
      <c r="B110" s="94"/>
      <c r="C110" s="95" t="s">
        <v>248</v>
      </c>
      <c r="D110" s="96">
        <f>D5+D101</f>
        <v>25935000</v>
      </c>
      <c r="E110" s="96">
        <f>E5+E101</f>
        <v>26970000</v>
      </c>
      <c r="F110" s="97">
        <f t="shared" si="6"/>
        <v>103.99074609600925</v>
      </c>
      <c r="G110" s="98">
        <f t="shared" si="7"/>
        <v>100</v>
      </c>
      <c r="H110" s="109"/>
    </row>
    <row r="111" spans="1:8" ht="29.25" customHeight="1" thickTop="1">
      <c r="A111" s="468"/>
      <c r="B111" s="468"/>
      <c r="C111" s="468"/>
      <c r="D111" s="468"/>
      <c r="E111" s="468"/>
      <c r="F111" s="468"/>
      <c r="G111" s="468"/>
      <c r="H111" s="109"/>
    </row>
    <row r="112" spans="1:8" ht="18.75" customHeight="1">
      <c r="A112" s="469"/>
      <c r="B112" s="469"/>
      <c r="C112" s="469"/>
      <c r="D112" s="470"/>
      <c r="E112" s="470"/>
      <c r="F112" s="469"/>
      <c r="G112" s="469"/>
      <c r="H112" s="109"/>
    </row>
    <row r="113" spans="1:7" s="21" customFormat="1" ht="14.25">
      <c r="A113" s="469"/>
      <c r="B113" s="469"/>
      <c r="C113" s="469"/>
      <c r="D113" s="470"/>
      <c r="E113" s="470"/>
      <c r="F113" s="478"/>
      <c r="G113" s="469"/>
    </row>
    <row r="114" spans="1:7" s="21" customFormat="1" ht="15" customHeight="1">
      <c r="A114" s="469"/>
      <c r="B114" s="469"/>
      <c r="C114" s="469"/>
      <c r="D114" s="470"/>
      <c r="E114" s="470"/>
      <c r="F114" s="478"/>
      <c r="G114" s="469"/>
    </row>
    <row r="115" spans="1:7" s="21" customFormat="1" ht="14.25" customHeight="1">
      <c r="A115" s="469"/>
      <c r="B115" s="469"/>
      <c r="C115" s="469"/>
      <c r="D115" s="470"/>
      <c r="E115" s="470"/>
      <c r="F115" s="478"/>
      <c r="G115" s="469"/>
    </row>
    <row r="116" spans="1:7" s="21" customFormat="1" ht="14.25" customHeight="1">
      <c r="A116" s="469"/>
      <c r="B116" s="469"/>
      <c r="C116" s="469"/>
      <c r="D116" s="470"/>
      <c r="E116" s="470"/>
      <c r="F116" s="478"/>
      <c r="G116" s="469"/>
    </row>
    <row r="117" spans="1:7" s="21" customFormat="1" ht="15">
      <c r="A117" s="469"/>
      <c r="B117" s="469"/>
      <c r="C117" s="485"/>
      <c r="D117" s="486"/>
      <c r="E117" s="486"/>
      <c r="F117" s="477"/>
      <c r="G117" s="469"/>
    </row>
    <row r="118" spans="1:7" s="21" customFormat="1" ht="18" customHeight="1">
      <c r="A118" s="469"/>
      <c r="B118" s="469"/>
      <c r="C118" s="469"/>
      <c r="D118" s="470"/>
      <c r="E118" s="470"/>
      <c r="F118" s="469"/>
      <c r="G118" s="469"/>
    </row>
    <row r="119" spans="1:7" ht="12.75" customHeight="1">
      <c r="A119" s="469"/>
      <c r="B119" s="469"/>
      <c r="C119" s="469"/>
      <c r="D119" s="470"/>
      <c r="E119" s="470"/>
      <c r="F119" s="469"/>
      <c r="G119" s="469"/>
    </row>
    <row r="120" spans="1:7" ht="12.75" customHeight="1">
      <c r="A120" s="469"/>
      <c r="B120" s="469"/>
      <c r="C120" s="469"/>
      <c r="D120" s="469"/>
      <c r="E120" s="469"/>
      <c r="F120" s="469"/>
      <c r="G120" s="469"/>
    </row>
    <row r="121" spans="1:7" ht="17.25" customHeight="1">
      <c r="A121" s="469"/>
      <c r="B121" s="469"/>
      <c r="C121" s="469"/>
      <c r="D121" s="469"/>
      <c r="E121" s="469"/>
      <c r="F121" s="469"/>
      <c r="G121" s="469"/>
    </row>
    <row r="122" spans="1:7" ht="16.5" customHeight="1">
      <c r="A122" s="469"/>
      <c r="B122" s="469"/>
      <c r="C122" s="349"/>
      <c r="D122" s="470"/>
      <c r="E122" s="470"/>
      <c r="F122" s="476"/>
      <c r="G122" s="469"/>
    </row>
    <row r="123" spans="1:7" ht="18.75" customHeight="1">
      <c r="A123" s="469"/>
      <c r="B123" s="469"/>
      <c r="C123" s="349"/>
      <c r="D123" s="470"/>
      <c r="E123" s="470"/>
      <c r="F123" s="469"/>
      <c r="G123" s="469"/>
    </row>
    <row r="124" spans="1:7" ht="20.25" customHeight="1">
      <c r="A124" s="469"/>
      <c r="B124" s="469"/>
      <c r="C124" s="469"/>
      <c r="D124" s="469"/>
      <c r="E124" s="469"/>
      <c r="F124" s="469"/>
      <c r="G124" s="469"/>
    </row>
    <row r="125" spans="1:7" ht="16.5" customHeight="1">
      <c r="A125" s="469"/>
      <c r="B125" s="469"/>
      <c r="C125" s="471" t="s">
        <v>652</v>
      </c>
      <c r="D125" s="472">
        <f>D117-Finansiranje!C11</f>
        <v>-1300000</v>
      </c>
      <c r="E125" s="472">
        <f>E117-Finansiranje!D11</f>
        <v>-2700000</v>
      </c>
      <c r="F125" s="477">
        <f>E125/D125*100</f>
        <v>207.6923076923077</v>
      </c>
      <c r="G125" s="469"/>
    </row>
    <row r="126" ht="21.75" customHeight="1"/>
    <row r="127" ht="24.75" customHeight="1"/>
    <row r="129" spans="4:5" ht="12.75">
      <c r="D129" s="23"/>
      <c r="E129" s="23"/>
    </row>
    <row r="130" spans="4:5" ht="12.75">
      <c r="D130" s="23"/>
      <c r="E130" s="23"/>
    </row>
    <row r="131" spans="4:5" ht="12.75">
      <c r="D131" s="23"/>
      <c r="E131" s="23"/>
    </row>
    <row r="154" spans="4:7" s="16" customFormat="1" ht="12.75">
      <c r="D154" s="433"/>
      <c r="E154" s="433"/>
      <c r="F154" s="433"/>
      <c r="G154" s="433"/>
    </row>
    <row r="155" spans="4:7" s="16" customFormat="1" ht="12.75">
      <c r="D155" s="433"/>
      <c r="E155" s="433"/>
      <c r="F155" s="433"/>
      <c r="G155" s="433"/>
    </row>
    <row r="156" spans="4:7" s="16" customFormat="1" ht="12.75">
      <c r="D156" s="433"/>
      <c r="E156" s="433"/>
      <c r="F156" s="433"/>
      <c r="G156" s="433"/>
    </row>
    <row r="157" spans="4:7" s="16" customFormat="1" ht="12.75">
      <c r="D157" s="433"/>
      <c r="E157" s="433"/>
      <c r="F157" s="433"/>
      <c r="G157" s="433"/>
    </row>
    <row r="158" spans="4:7" s="16" customFormat="1" ht="12.75">
      <c r="D158" s="433"/>
      <c r="E158" s="433"/>
      <c r="F158" s="433"/>
      <c r="G158" s="433"/>
    </row>
    <row r="159" spans="4:7" s="16" customFormat="1" ht="12.75">
      <c r="D159" s="433"/>
      <c r="E159" s="433"/>
      <c r="F159" s="433"/>
      <c r="G159" s="433"/>
    </row>
    <row r="160" spans="4:7" s="16" customFormat="1" ht="12.75">
      <c r="D160" s="433"/>
      <c r="E160" s="433"/>
      <c r="F160" s="433"/>
      <c r="G160" s="433"/>
    </row>
    <row r="161" spans="4:7" s="16" customFormat="1" ht="12.75">
      <c r="D161" s="433"/>
      <c r="E161" s="433"/>
      <c r="F161" s="433"/>
      <c r="G161" s="433"/>
    </row>
    <row r="162" spans="4:7" s="16" customFormat="1" ht="12.75">
      <c r="D162" s="433"/>
      <c r="E162" s="433"/>
      <c r="F162" s="433"/>
      <c r="G162" s="433"/>
    </row>
    <row r="163" spans="4:7" s="16" customFormat="1" ht="12.75">
      <c r="D163" s="433"/>
      <c r="E163" s="433"/>
      <c r="F163" s="433"/>
      <c r="G163" s="433"/>
    </row>
    <row r="164" spans="4:7" s="16" customFormat="1" ht="12.75">
      <c r="D164" s="433"/>
      <c r="E164" s="433"/>
      <c r="F164" s="433"/>
      <c r="G164" s="433"/>
    </row>
    <row r="165" spans="4:7" s="16" customFormat="1" ht="12.75">
      <c r="D165" s="433"/>
      <c r="E165" s="433"/>
      <c r="F165" s="433"/>
      <c r="G165" s="433"/>
    </row>
    <row r="166" spans="4:7" s="16" customFormat="1" ht="12.75">
      <c r="D166" s="433"/>
      <c r="E166" s="433"/>
      <c r="F166" s="433"/>
      <c r="G166" s="433"/>
    </row>
    <row r="167" spans="4:7" s="16" customFormat="1" ht="12.75">
      <c r="D167" s="433"/>
      <c r="E167" s="433"/>
      <c r="F167" s="433"/>
      <c r="G167" s="433"/>
    </row>
    <row r="168" spans="4:7" s="16" customFormat="1" ht="12.75">
      <c r="D168" s="433"/>
      <c r="E168" s="433"/>
      <c r="F168" s="433"/>
      <c r="G168" s="433"/>
    </row>
    <row r="169" spans="4:7" s="16" customFormat="1" ht="12.75">
      <c r="D169" s="433"/>
      <c r="E169" s="433"/>
      <c r="F169" s="433"/>
      <c r="G169" s="433"/>
    </row>
    <row r="170" spans="4:7" s="16" customFormat="1" ht="12.75">
      <c r="D170" s="433"/>
      <c r="E170" s="433"/>
      <c r="F170" s="433"/>
      <c r="G170" s="433"/>
    </row>
    <row r="171" spans="4:7" s="16" customFormat="1" ht="12.75">
      <c r="D171" s="433"/>
      <c r="E171" s="433"/>
      <c r="F171" s="433"/>
      <c r="G171" s="433"/>
    </row>
    <row r="172" spans="4:7" s="16" customFormat="1" ht="12.75">
      <c r="D172" s="433"/>
      <c r="E172" s="433"/>
      <c r="F172" s="433"/>
      <c r="G172" s="433"/>
    </row>
    <row r="173" spans="4:7" s="16" customFormat="1" ht="12.75">
      <c r="D173" s="433"/>
      <c r="E173" s="433"/>
      <c r="F173" s="433"/>
      <c r="G173" s="433"/>
    </row>
    <row r="174" spans="4:7" s="16" customFormat="1" ht="12.75">
      <c r="D174" s="433"/>
      <c r="E174" s="433"/>
      <c r="F174" s="433"/>
      <c r="G174" s="433"/>
    </row>
    <row r="175" spans="4:7" s="16" customFormat="1" ht="12.75">
      <c r="D175" s="433"/>
      <c r="E175" s="433"/>
      <c r="F175" s="433"/>
      <c r="G175" s="433"/>
    </row>
    <row r="176" spans="4:7" s="16" customFormat="1" ht="12.75">
      <c r="D176" s="433"/>
      <c r="E176" s="433"/>
      <c r="F176" s="433"/>
      <c r="G176" s="433"/>
    </row>
    <row r="177" spans="4:7" s="16" customFormat="1" ht="12.75">
      <c r="D177" s="433"/>
      <c r="E177" s="433"/>
      <c r="F177" s="433"/>
      <c r="G177" s="433"/>
    </row>
    <row r="178" spans="4:7" s="16" customFormat="1" ht="12.75">
      <c r="D178" s="433"/>
      <c r="E178" s="433"/>
      <c r="F178" s="433"/>
      <c r="G178" s="433"/>
    </row>
    <row r="179" spans="4:7" s="16" customFormat="1" ht="12.75">
      <c r="D179" s="433"/>
      <c r="E179" s="433"/>
      <c r="F179" s="433"/>
      <c r="G179" s="433"/>
    </row>
    <row r="180" spans="4:7" s="16" customFormat="1" ht="12.75">
      <c r="D180" s="433"/>
      <c r="E180" s="433"/>
      <c r="F180" s="433"/>
      <c r="G180" s="433"/>
    </row>
    <row r="181" spans="4:7" s="16" customFormat="1" ht="12.75">
      <c r="D181" s="433"/>
      <c r="E181" s="433"/>
      <c r="F181" s="433"/>
      <c r="G181" s="433"/>
    </row>
    <row r="182" spans="4:7" s="16" customFormat="1" ht="12.75">
      <c r="D182" s="433"/>
      <c r="E182" s="433"/>
      <c r="F182" s="433"/>
      <c r="G182" s="433"/>
    </row>
    <row r="183" spans="4:7" s="16" customFormat="1" ht="12.75">
      <c r="D183" s="433"/>
      <c r="E183" s="433"/>
      <c r="F183" s="433"/>
      <c r="G183" s="433"/>
    </row>
    <row r="184" spans="4:7" s="16" customFormat="1" ht="12.75">
      <c r="D184" s="433"/>
      <c r="E184" s="433"/>
      <c r="F184" s="433"/>
      <c r="G184" s="433"/>
    </row>
    <row r="185" spans="4:7" s="16" customFormat="1" ht="12.75">
      <c r="D185" s="433"/>
      <c r="E185" s="433"/>
      <c r="F185" s="433"/>
      <c r="G185" s="433"/>
    </row>
    <row r="186" spans="4:7" s="16" customFormat="1" ht="12.75">
      <c r="D186" s="433"/>
      <c r="E186" s="433"/>
      <c r="F186" s="433"/>
      <c r="G186" s="433"/>
    </row>
    <row r="187" spans="4:7" s="16" customFormat="1" ht="12.75">
      <c r="D187" s="433"/>
      <c r="E187" s="433"/>
      <c r="F187" s="433"/>
      <c r="G187" s="433"/>
    </row>
    <row r="188" spans="4:7" s="16" customFormat="1" ht="12.75">
      <c r="D188" s="433"/>
      <c r="E188" s="433"/>
      <c r="F188" s="433"/>
      <c r="G188" s="433"/>
    </row>
    <row r="189" spans="4:7" s="16" customFormat="1" ht="12.75">
      <c r="D189" s="433"/>
      <c r="E189" s="433"/>
      <c r="F189" s="433"/>
      <c r="G189" s="433"/>
    </row>
    <row r="190" spans="4:7" s="16" customFormat="1" ht="12.75">
      <c r="D190" s="433"/>
      <c r="E190" s="433"/>
      <c r="F190" s="433"/>
      <c r="G190" s="433"/>
    </row>
    <row r="191" spans="4:7" s="16" customFormat="1" ht="12.75">
      <c r="D191" s="433"/>
      <c r="E191" s="433"/>
      <c r="F191" s="433"/>
      <c r="G191" s="433"/>
    </row>
    <row r="192" spans="4:7" s="16" customFormat="1" ht="12.75">
      <c r="D192" s="433"/>
      <c r="E192" s="433"/>
      <c r="F192" s="433"/>
      <c r="G192" s="433"/>
    </row>
    <row r="193" spans="4:7" s="16" customFormat="1" ht="12.75">
      <c r="D193" s="433"/>
      <c r="E193" s="433"/>
      <c r="F193" s="433"/>
      <c r="G193" s="433"/>
    </row>
    <row r="194" spans="4:7" s="16" customFormat="1" ht="12.75">
      <c r="D194" s="433"/>
      <c r="E194" s="433"/>
      <c r="F194" s="433"/>
      <c r="G194" s="433"/>
    </row>
    <row r="195" spans="4:7" s="16" customFormat="1" ht="12.75">
      <c r="D195" s="433"/>
      <c r="E195" s="433"/>
      <c r="F195" s="433"/>
      <c r="G195" s="433"/>
    </row>
    <row r="196" spans="4:7" s="16" customFormat="1" ht="12.75">
      <c r="D196" s="433"/>
      <c r="E196" s="433"/>
      <c r="F196" s="433"/>
      <c r="G196" s="433"/>
    </row>
    <row r="197" spans="4:7" s="16" customFormat="1" ht="12.75">
      <c r="D197" s="433"/>
      <c r="E197" s="433"/>
      <c r="F197" s="433"/>
      <c r="G197" s="433"/>
    </row>
    <row r="198" spans="4:7" s="16" customFormat="1" ht="12.75">
      <c r="D198" s="433"/>
      <c r="E198" s="433"/>
      <c r="F198" s="433"/>
      <c r="G198" s="433"/>
    </row>
    <row r="199" spans="4:7" s="16" customFormat="1" ht="12.75">
      <c r="D199" s="433"/>
      <c r="E199" s="433"/>
      <c r="F199" s="433"/>
      <c r="G199" s="433"/>
    </row>
    <row r="200" spans="4:7" s="16" customFormat="1" ht="12.75">
      <c r="D200" s="433"/>
      <c r="E200" s="433"/>
      <c r="F200" s="433"/>
      <c r="G200" s="433"/>
    </row>
    <row r="201" spans="4:7" s="16" customFormat="1" ht="12.75">
      <c r="D201" s="433"/>
      <c r="E201" s="433"/>
      <c r="F201" s="433"/>
      <c r="G201" s="433"/>
    </row>
    <row r="202" spans="4:7" s="16" customFormat="1" ht="12.75">
      <c r="D202" s="433"/>
      <c r="E202" s="433"/>
      <c r="F202" s="433"/>
      <c r="G202" s="433"/>
    </row>
    <row r="203" spans="4:7" s="16" customFormat="1" ht="12.75">
      <c r="D203" s="433"/>
      <c r="E203" s="433"/>
      <c r="F203" s="433"/>
      <c r="G203" s="433"/>
    </row>
    <row r="204" spans="4:7" s="16" customFormat="1" ht="12.75">
      <c r="D204" s="433"/>
      <c r="E204" s="433"/>
      <c r="F204" s="433"/>
      <c r="G204" s="433"/>
    </row>
    <row r="205" spans="4:7" s="16" customFormat="1" ht="12.75">
      <c r="D205" s="433"/>
      <c r="E205" s="433"/>
      <c r="F205" s="433"/>
      <c r="G205" s="433"/>
    </row>
    <row r="206" spans="4:7" s="16" customFormat="1" ht="12.75">
      <c r="D206" s="433"/>
      <c r="E206" s="433"/>
      <c r="F206" s="433"/>
      <c r="G206" s="433"/>
    </row>
    <row r="207" spans="4:7" s="16" customFormat="1" ht="12.75">
      <c r="D207" s="433"/>
      <c r="E207" s="433"/>
      <c r="F207" s="433"/>
      <c r="G207" s="433"/>
    </row>
    <row r="208" spans="4:7" s="16" customFormat="1" ht="12.75">
      <c r="D208" s="433"/>
      <c r="E208" s="433"/>
      <c r="F208" s="433"/>
      <c r="G208" s="433"/>
    </row>
    <row r="209" spans="4:7" s="16" customFormat="1" ht="12.75">
      <c r="D209" s="433"/>
      <c r="E209" s="433"/>
      <c r="F209" s="433"/>
      <c r="G209" s="433"/>
    </row>
    <row r="210" spans="4:7" s="16" customFormat="1" ht="12.75">
      <c r="D210" s="433"/>
      <c r="E210" s="433"/>
      <c r="F210" s="433"/>
      <c r="G210" s="433"/>
    </row>
    <row r="211" spans="4:7" s="16" customFormat="1" ht="12.75">
      <c r="D211" s="433"/>
      <c r="E211" s="433"/>
      <c r="F211" s="433"/>
      <c r="G211" s="433"/>
    </row>
    <row r="212" spans="4:7" s="16" customFormat="1" ht="12.75">
      <c r="D212" s="433"/>
      <c r="E212" s="433"/>
      <c r="F212" s="433"/>
      <c r="G212" s="433"/>
    </row>
    <row r="213" spans="4:7" s="16" customFormat="1" ht="12.75">
      <c r="D213" s="433"/>
      <c r="E213" s="433"/>
      <c r="F213" s="433"/>
      <c r="G213" s="433"/>
    </row>
    <row r="214" spans="4:7" s="16" customFormat="1" ht="12.75">
      <c r="D214" s="433"/>
      <c r="E214" s="433"/>
      <c r="F214" s="433"/>
      <c r="G214" s="433"/>
    </row>
    <row r="215" spans="4:7" s="16" customFormat="1" ht="12.75">
      <c r="D215" s="433"/>
      <c r="E215" s="433"/>
      <c r="F215" s="433"/>
      <c r="G215" s="433"/>
    </row>
    <row r="216" spans="4:7" s="16" customFormat="1" ht="12.75">
      <c r="D216" s="433"/>
      <c r="E216" s="433"/>
      <c r="F216" s="433"/>
      <c r="G216" s="433"/>
    </row>
    <row r="217" spans="4:7" s="16" customFormat="1" ht="12.75">
      <c r="D217" s="433"/>
      <c r="E217" s="433"/>
      <c r="F217" s="433"/>
      <c r="G217" s="433"/>
    </row>
    <row r="218" spans="4:7" s="16" customFormat="1" ht="12.75">
      <c r="D218" s="433"/>
      <c r="E218" s="433"/>
      <c r="F218" s="433"/>
      <c r="G218" s="433"/>
    </row>
    <row r="219" spans="4:7" s="16" customFormat="1" ht="12.75">
      <c r="D219" s="433"/>
      <c r="E219" s="433"/>
      <c r="F219" s="433"/>
      <c r="G219" s="433"/>
    </row>
    <row r="220" spans="4:7" s="16" customFormat="1" ht="12.75">
      <c r="D220" s="433"/>
      <c r="E220" s="433"/>
      <c r="F220" s="433"/>
      <c r="G220" s="433"/>
    </row>
    <row r="221" spans="4:7" s="16" customFormat="1" ht="12.75">
      <c r="D221" s="433"/>
      <c r="E221" s="433"/>
      <c r="F221" s="433"/>
      <c r="G221" s="433"/>
    </row>
    <row r="222" spans="4:7" s="16" customFormat="1" ht="12.75">
      <c r="D222" s="433"/>
      <c r="E222" s="433"/>
      <c r="F222" s="433"/>
      <c r="G222" s="433"/>
    </row>
    <row r="223" spans="4:7" s="16" customFormat="1" ht="12.75">
      <c r="D223" s="433"/>
      <c r="E223" s="433"/>
      <c r="F223" s="433"/>
      <c r="G223" s="433"/>
    </row>
    <row r="224" spans="4:7" s="16" customFormat="1" ht="12.75">
      <c r="D224" s="433"/>
      <c r="E224" s="433"/>
      <c r="F224" s="433"/>
      <c r="G224" s="433"/>
    </row>
    <row r="225" spans="4:7" s="16" customFormat="1" ht="12.75">
      <c r="D225" s="433"/>
      <c r="E225" s="433"/>
      <c r="F225" s="433"/>
      <c r="G225" s="433"/>
    </row>
    <row r="226" spans="4:7" s="16" customFormat="1" ht="12.75">
      <c r="D226" s="433"/>
      <c r="E226" s="433"/>
      <c r="F226" s="433"/>
      <c r="G226" s="433"/>
    </row>
    <row r="227" spans="4:7" s="16" customFormat="1" ht="12.75">
      <c r="D227" s="433"/>
      <c r="E227" s="433"/>
      <c r="F227" s="433"/>
      <c r="G227" s="433"/>
    </row>
    <row r="228" spans="4:7" s="16" customFormat="1" ht="12.75">
      <c r="D228" s="433"/>
      <c r="E228" s="433"/>
      <c r="F228" s="433"/>
      <c r="G228" s="433"/>
    </row>
    <row r="229" spans="4:7" s="16" customFormat="1" ht="12.75">
      <c r="D229" s="433"/>
      <c r="E229" s="433"/>
      <c r="F229" s="433"/>
      <c r="G229" s="433"/>
    </row>
    <row r="230" spans="4:7" s="16" customFormat="1" ht="12.75">
      <c r="D230" s="433"/>
      <c r="E230" s="433"/>
      <c r="F230" s="433"/>
      <c r="G230" s="433"/>
    </row>
    <row r="231" spans="4:7" s="16" customFormat="1" ht="12.75">
      <c r="D231" s="433"/>
      <c r="E231" s="433"/>
      <c r="F231" s="433"/>
      <c r="G231" s="433"/>
    </row>
    <row r="232" spans="4:7" s="16" customFormat="1" ht="12.75">
      <c r="D232" s="433"/>
      <c r="E232" s="433"/>
      <c r="F232" s="433"/>
      <c r="G232" s="433"/>
    </row>
    <row r="233" spans="4:7" s="16" customFormat="1" ht="12.75">
      <c r="D233" s="433"/>
      <c r="E233" s="433"/>
      <c r="F233" s="433"/>
      <c r="G233" s="433"/>
    </row>
    <row r="234" spans="4:7" s="16" customFormat="1" ht="12.75">
      <c r="D234" s="433"/>
      <c r="E234" s="433"/>
      <c r="F234" s="433"/>
      <c r="G234" s="433"/>
    </row>
    <row r="235" spans="4:7" s="16" customFormat="1" ht="12.75">
      <c r="D235" s="433"/>
      <c r="E235" s="433"/>
      <c r="F235" s="433"/>
      <c r="G235" s="433"/>
    </row>
    <row r="236" spans="4:7" s="16" customFormat="1" ht="12.75">
      <c r="D236" s="433"/>
      <c r="E236" s="433"/>
      <c r="F236" s="433"/>
      <c r="G236" s="433"/>
    </row>
    <row r="237" spans="4:7" s="16" customFormat="1" ht="12.75">
      <c r="D237" s="433"/>
      <c r="E237" s="433"/>
      <c r="F237" s="433"/>
      <c r="G237" s="433"/>
    </row>
    <row r="238" spans="4:7" s="16" customFormat="1" ht="12.75">
      <c r="D238" s="433"/>
      <c r="E238" s="433"/>
      <c r="F238" s="433"/>
      <c r="G238" s="433"/>
    </row>
    <row r="239" spans="4:7" s="16" customFormat="1" ht="12.75">
      <c r="D239" s="433"/>
      <c r="E239" s="433"/>
      <c r="F239" s="433"/>
      <c r="G239" s="433"/>
    </row>
    <row r="240" spans="4:7" s="16" customFormat="1" ht="12.75">
      <c r="D240" s="433"/>
      <c r="E240" s="433"/>
      <c r="F240" s="433"/>
      <c r="G240" s="433"/>
    </row>
    <row r="241" spans="4:7" s="16" customFormat="1" ht="12.75">
      <c r="D241" s="433"/>
      <c r="E241" s="433"/>
      <c r="F241" s="433"/>
      <c r="G241" s="433"/>
    </row>
    <row r="242" spans="4:7" s="16" customFormat="1" ht="12.75">
      <c r="D242" s="433"/>
      <c r="E242" s="433"/>
      <c r="F242" s="433"/>
      <c r="G242" s="433"/>
    </row>
    <row r="243" spans="4:7" s="16" customFormat="1" ht="12.75">
      <c r="D243" s="433"/>
      <c r="E243" s="433"/>
      <c r="F243" s="433"/>
      <c r="G243" s="433"/>
    </row>
    <row r="244" spans="4:7" s="16" customFormat="1" ht="12.75">
      <c r="D244" s="433"/>
      <c r="E244" s="433"/>
      <c r="F244" s="433"/>
      <c r="G244" s="433"/>
    </row>
    <row r="245" spans="4:7" s="16" customFormat="1" ht="12.75">
      <c r="D245" s="433"/>
      <c r="E245" s="433"/>
      <c r="F245" s="433"/>
      <c r="G245" s="433"/>
    </row>
    <row r="246" spans="4:7" s="16" customFormat="1" ht="12.75">
      <c r="D246" s="433"/>
      <c r="E246" s="433"/>
      <c r="F246" s="433"/>
      <c r="G246" s="433"/>
    </row>
    <row r="247" spans="4:7" s="16" customFormat="1" ht="12.75">
      <c r="D247" s="433"/>
      <c r="E247" s="433"/>
      <c r="F247" s="433"/>
      <c r="G247" s="433"/>
    </row>
    <row r="248" spans="4:7" s="16" customFormat="1" ht="12.75">
      <c r="D248" s="433"/>
      <c r="E248" s="433"/>
      <c r="F248" s="433"/>
      <c r="G248" s="433"/>
    </row>
    <row r="249" spans="4:7" s="16" customFormat="1" ht="12.75">
      <c r="D249" s="433"/>
      <c r="E249" s="433"/>
      <c r="F249" s="433"/>
      <c r="G249" s="433"/>
    </row>
    <row r="250" spans="4:7" s="16" customFormat="1" ht="12.75">
      <c r="D250" s="433"/>
      <c r="E250" s="433"/>
      <c r="F250" s="433"/>
      <c r="G250" s="433"/>
    </row>
    <row r="251" spans="4:7" s="16" customFormat="1" ht="12.75">
      <c r="D251" s="433"/>
      <c r="E251" s="433"/>
      <c r="F251" s="433"/>
      <c r="G251" s="433"/>
    </row>
    <row r="252" spans="4:7" s="16" customFormat="1" ht="12.75">
      <c r="D252" s="433"/>
      <c r="E252" s="433"/>
      <c r="F252" s="433"/>
      <c r="G252" s="433"/>
    </row>
    <row r="253" spans="4:7" s="16" customFormat="1" ht="12.75">
      <c r="D253" s="433"/>
      <c r="E253" s="433"/>
      <c r="F253" s="433"/>
      <c r="G253" s="433"/>
    </row>
    <row r="254" spans="4:7" s="16" customFormat="1" ht="12.75">
      <c r="D254" s="433"/>
      <c r="E254" s="433"/>
      <c r="F254" s="433"/>
      <c r="G254" s="433"/>
    </row>
    <row r="255" spans="4:7" s="16" customFormat="1" ht="12.75">
      <c r="D255" s="433"/>
      <c r="E255" s="433"/>
      <c r="F255" s="433"/>
      <c r="G255" s="433"/>
    </row>
    <row r="256" spans="4:7" s="16" customFormat="1" ht="12.75">
      <c r="D256" s="433"/>
      <c r="E256" s="433"/>
      <c r="F256" s="433"/>
      <c r="G256" s="433"/>
    </row>
    <row r="257" spans="4:7" s="16" customFormat="1" ht="12.75">
      <c r="D257" s="433"/>
      <c r="E257" s="433"/>
      <c r="F257" s="433"/>
      <c r="G257" s="433"/>
    </row>
    <row r="258" spans="4:7" s="16" customFormat="1" ht="12.75">
      <c r="D258" s="433"/>
      <c r="E258" s="433"/>
      <c r="F258" s="433"/>
      <c r="G258" s="433"/>
    </row>
    <row r="259" spans="4:7" s="16" customFormat="1" ht="12.75">
      <c r="D259" s="433"/>
      <c r="E259" s="433"/>
      <c r="F259" s="433"/>
      <c r="G259" s="433"/>
    </row>
    <row r="260" spans="4:7" s="16" customFormat="1" ht="12.75">
      <c r="D260" s="433"/>
      <c r="E260" s="433"/>
      <c r="F260" s="433"/>
      <c r="G260" s="433"/>
    </row>
    <row r="261" spans="4:7" s="16" customFormat="1" ht="12.75">
      <c r="D261" s="433"/>
      <c r="E261" s="433"/>
      <c r="F261" s="433"/>
      <c r="G261" s="433"/>
    </row>
    <row r="262" spans="4:7" s="16" customFormat="1" ht="12.75">
      <c r="D262" s="433"/>
      <c r="E262" s="433"/>
      <c r="F262" s="433"/>
      <c r="G262" s="433"/>
    </row>
  </sheetData>
  <sheetProtection/>
  <mergeCells count="9">
    <mergeCell ref="D2:D3"/>
    <mergeCell ref="H2:H3"/>
    <mergeCell ref="A1:G1"/>
    <mergeCell ref="A2:A3"/>
    <mergeCell ref="C2:C3"/>
    <mergeCell ref="B2:B3"/>
    <mergeCell ref="F2:F3"/>
    <mergeCell ref="G2:G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105" r:id="rId1"/>
  <headerFooter alignWithMargins="0">
    <oddFooter>&amp;R&amp;P</oddFooter>
  </headerFooter>
  <rowBreaks count="4" manualBreakCount="4">
    <brk id="34" max="6" man="1"/>
    <brk id="56" max="6" man="1"/>
    <brk id="79" max="6" man="1"/>
    <brk id="97" max="6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70" workbookViewId="0" topLeftCell="A1">
      <selection activeCell="C9" sqref="C9"/>
    </sheetView>
  </sheetViews>
  <sheetFormatPr defaultColWidth="9.140625" defaultRowHeight="12.75" customHeight="1"/>
  <cols>
    <col min="1" max="1" width="8.8515625" style="0" customWidth="1"/>
    <col min="2" max="2" width="65.00390625" style="0" customWidth="1"/>
    <col min="3" max="4" width="16.421875" style="0" customWidth="1"/>
    <col min="5" max="5" width="11.140625" style="0" customWidth="1"/>
    <col min="6" max="6" width="10.57421875" style="0" customWidth="1"/>
    <col min="7" max="7" width="6.8515625" style="0" customWidth="1"/>
    <col min="8" max="8" width="11.7109375" style="0" bestFit="1" customWidth="1"/>
    <col min="11" max="11" width="11.28125" style="0" customWidth="1"/>
    <col min="12" max="12" width="10.140625" style="0" customWidth="1"/>
  </cols>
  <sheetData>
    <row r="1" spans="1:7" ht="33.75" customHeight="1" thickBot="1">
      <c r="A1" s="513" t="s">
        <v>600</v>
      </c>
      <c r="B1" s="514"/>
      <c r="C1" s="514"/>
      <c r="D1" s="514"/>
      <c r="E1" s="514"/>
      <c r="F1" s="515"/>
      <c r="G1" s="19"/>
    </row>
    <row r="2" spans="1:6" ht="36.75" customHeight="1" thickTop="1">
      <c r="A2" s="250" t="s">
        <v>56</v>
      </c>
      <c r="B2" s="263" t="s">
        <v>194</v>
      </c>
      <c r="C2" s="264" t="s">
        <v>601</v>
      </c>
      <c r="D2" s="264" t="s">
        <v>602</v>
      </c>
      <c r="E2" s="264" t="s">
        <v>107</v>
      </c>
      <c r="F2" s="265" t="s">
        <v>188</v>
      </c>
    </row>
    <row r="3" spans="1:6" ht="15.75" customHeight="1">
      <c r="A3" s="102">
        <v>1</v>
      </c>
      <c r="B3" s="103">
        <v>2</v>
      </c>
      <c r="C3" s="104">
        <v>3</v>
      </c>
      <c r="D3" s="104">
        <v>4</v>
      </c>
      <c r="E3" s="104" t="s">
        <v>564</v>
      </c>
      <c r="F3" s="101">
        <v>6</v>
      </c>
    </row>
    <row r="4" spans="1:8" ht="21" customHeight="1">
      <c r="A4" s="252"/>
      <c r="B4" s="266" t="s">
        <v>308</v>
      </c>
      <c r="C4" s="44">
        <f>C5+C38+C43</f>
        <v>21925700</v>
      </c>
      <c r="D4" s="44">
        <f>D5+D38+D43</f>
        <v>23481155</v>
      </c>
      <c r="E4" s="44">
        <f>IF(C4&gt;0,D4/C4*100,0)</f>
        <v>107.09420907884355</v>
      </c>
      <c r="F4" s="267">
        <f>D4/$D$56*100</f>
        <v>82.45234862635631</v>
      </c>
      <c r="G4" s="1"/>
      <c r="H4" s="1"/>
    </row>
    <row r="5" spans="1:8" ht="15.75" customHeight="1">
      <c r="A5" s="268">
        <v>410000</v>
      </c>
      <c r="B5" s="253" t="s">
        <v>314</v>
      </c>
      <c r="C5" s="50">
        <f>C6+C11+C21+C25+C27+C29+C32+C36</f>
        <v>21504200</v>
      </c>
      <c r="D5" s="50">
        <f>D6+D11+D21+D25+D27+D29+D32+D36</f>
        <v>23011155</v>
      </c>
      <c r="E5" s="50">
        <f aca="true" t="shared" si="0" ref="E5:E56">IF(C5&gt;0,D5/C5*100,0)</f>
        <v>107.00772407250676</v>
      </c>
      <c r="F5" s="176">
        <f aca="true" t="shared" si="1" ref="F5:F56">D5/$D$56*100</f>
        <v>80.80197819720206</v>
      </c>
      <c r="G5" s="1"/>
      <c r="H5" s="1"/>
    </row>
    <row r="6" spans="1:12" ht="15.75" customHeight="1">
      <c r="A6" s="269">
        <v>411000</v>
      </c>
      <c r="B6" s="270" t="s">
        <v>303</v>
      </c>
      <c r="C6" s="55">
        <f>SUM(C7:C10)</f>
        <v>10949800</v>
      </c>
      <c r="D6" s="55">
        <f>SUM(D7:D10)</f>
        <v>11046300</v>
      </c>
      <c r="E6" s="56">
        <f t="shared" si="0"/>
        <v>100.88129463551844</v>
      </c>
      <c r="F6" s="241">
        <f t="shared" si="1"/>
        <v>38.78826993950339</v>
      </c>
      <c r="G6" s="1"/>
      <c r="H6" s="1"/>
      <c r="I6" s="480"/>
      <c r="J6" s="2"/>
      <c r="K6" s="2"/>
      <c r="L6" s="2"/>
    </row>
    <row r="7" spans="1:12" ht="13.5" customHeight="1">
      <c r="A7" s="256">
        <v>411100</v>
      </c>
      <c r="B7" s="271" t="s">
        <v>299</v>
      </c>
      <c r="C7" s="114">
        <f>SUMIF(Org!$C$10:Org!$D$585,411100,Org!E$10:Org!E$586)</f>
        <v>9045000</v>
      </c>
      <c r="D7" s="114">
        <f>SUMIF(Org!$C$10:Org!$D$585,411100,Org!F$10:Org!F$586)</f>
        <v>9141000</v>
      </c>
      <c r="E7" s="114">
        <f t="shared" si="0"/>
        <v>101.06135986733003</v>
      </c>
      <c r="F7" s="320">
        <f t="shared" si="1"/>
        <v>32.097949133827655</v>
      </c>
      <c r="G7" s="1"/>
      <c r="H7" s="1"/>
      <c r="I7" s="2"/>
      <c r="J7" s="2"/>
      <c r="K7" s="2"/>
      <c r="L7" s="2"/>
    </row>
    <row r="8" spans="1:12" ht="25.5">
      <c r="A8" s="256">
        <v>411200</v>
      </c>
      <c r="B8" s="272" t="s">
        <v>304</v>
      </c>
      <c r="C8" s="114">
        <f>SUMIF(Org!$C$8:Org!$D$585,411200,Org!E$8:Org!E$587)</f>
        <v>1554000</v>
      </c>
      <c r="D8" s="114">
        <f>SUMIF(Org!$C$8:Org!$D$585,411200,Org!F$8:Org!F$587)</f>
        <v>1544500</v>
      </c>
      <c r="E8" s="114">
        <f t="shared" si="0"/>
        <v>99.38867438867439</v>
      </c>
      <c r="F8" s="320">
        <f t="shared" si="1"/>
        <v>5.423398144316467</v>
      </c>
      <c r="G8" s="1"/>
      <c r="H8" s="1"/>
      <c r="I8" s="2"/>
      <c r="J8" s="2"/>
      <c r="K8" s="2"/>
      <c r="L8" s="2"/>
    </row>
    <row r="9" spans="1:12" ht="25.5">
      <c r="A9" s="256">
        <v>411300</v>
      </c>
      <c r="B9" s="272" t="s">
        <v>380</v>
      </c>
      <c r="C9" s="114">
        <f>SUMIF(Org!$C$10:Org!$D$585,411300,Org!E$10:Org!E$587)</f>
        <v>193000</v>
      </c>
      <c r="D9" s="114">
        <f>SUMIF(Org!$C$10:Org!$D$585,411300,Org!F$10:Org!F$587)</f>
        <v>196000</v>
      </c>
      <c r="E9" s="114">
        <f t="shared" si="0"/>
        <v>101.55440414507773</v>
      </c>
      <c r="F9" s="320">
        <f t="shared" si="1"/>
        <v>0.6882395832217724</v>
      </c>
      <c r="G9" s="1"/>
      <c r="H9" s="1"/>
      <c r="I9" s="2"/>
      <c r="J9" s="2"/>
      <c r="K9" s="2"/>
      <c r="L9" s="2"/>
    </row>
    <row r="10" spans="1:12" ht="14.25" customHeight="1">
      <c r="A10" s="256">
        <v>411400</v>
      </c>
      <c r="B10" s="271" t="s">
        <v>300</v>
      </c>
      <c r="C10" s="114">
        <f>SUMIF(Org!$C$10:Org!$D$585,411400,Org!E$10:Org!E$587)</f>
        <v>157800</v>
      </c>
      <c r="D10" s="114">
        <f>SUMIF(Org!$C$10:Org!$D$585,411400,Org!F$10:Org!F$587)</f>
        <v>164800</v>
      </c>
      <c r="E10" s="114">
        <f t="shared" si="0"/>
        <v>104.4359949302915</v>
      </c>
      <c r="F10" s="320">
        <f t="shared" si="1"/>
        <v>0.5786830781374903</v>
      </c>
      <c r="G10" s="1"/>
      <c r="H10" s="1"/>
      <c r="I10" s="2"/>
      <c r="J10" s="2"/>
      <c r="K10" s="2"/>
      <c r="L10" s="2"/>
    </row>
    <row r="11" spans="1:12" ht="15.75" customHeight="1">
      <c r="A11" s="269">
        <v>412000</v>
      </c>
      <c r="B11" s="273" t="s">
        <v>117</v>
      </c>
      <c r="C11" s="55">
        <f>SUM(C12:C20)</f>
        <v>3643200</v>
      </c>
      <c r="D11" s="55">
        <f>SUM(D12:D20)</f>
        <v>4453430</v>
      </c>
      <c r="E11" s="56">
        <f t="shared" si="0"/>
        <v>122.2395147123408</v>
      </c>
      <c r="F11" s="241">
        <f t="shared" si="1"/>
        <v>15.63789187299662</v>
      </c>
      <c r="G11" s="1"/>
      <c r="H11" s="1"/>
      <c r="I11" s="480"/>
      <c r="J11" s="2"/>
      <c r="K11" s="2"/>
      <c r="L11" s="2"/>
    </row>
    <row r="12" spans="1:12" ht="15" customHeight="1">
      <c r="A12" s="259">
        <v>412100</v>
      </c>
      <c r="B12" s="82" t="s">
        <v>118</v>
      </c>
      <c r="C12" s="88">
        <f>SUMIF(Org!$C$10:Org!$D$585,412100,Org!E$10:Org!E$586)</f>
        <v>49010</v>
      </c>
      <c r="D12" s="88">
        <f>SUMIF(Org!$C$10:Org!$D$585,412100,Org!F$10:Org!F$586)</f>
        <v>63500</v>
      </c>
      <c r="E12" s="114">
        <f t="shared" si="0"/>
        <v>129.5653948173842</v>
      </c>
      <c r="F12" s="320">
        <f t="shared" si="1"/>
        <v>0.22297557925807424</v>
      </c>
      <c r="H12" s="1"/>
      <c r="I12" s="369"/>
      <c r="J12" s="2"/>
      <c r="K12" s="2"/>
      <c r="L12" s="2"/>
    </row>
    <row r="13" spans="1:12" ht="25.5">
      <c r="A13" s="259">
        <v>412200</v>
      </c>
      <c r="B13" s="82" t="s">
        <v>119</v>
      </c>
      <c r="C13" s="88">
        <f>SUMIF(Org!$C$10:Org!$D$585,412200,Org!E$10:Org!E$586)</f>
        <v>1079790</v>
      </c>
      <c r="D13" s="88">
        <f>SUMIF(Org!$C$10:Org!$D$585,412200,Org!F$10:Org!F$586)</f>
        <v>1128200</v>
      </c>
      <c r="E13" s="114">
        <f t="shared" si="0"/>
        <v>104.4832791561322</v>
      </c>
      <c r="F13" s="320">
        <f t="shared" si="1"/>
        <v>3.9615913152592017</v>
      </c>
      <c r="H13" s="1"/>
      <c r="I13" s="369"/>
      <c r="J13" s="2"/>
      <c r="K13" s="2"/>
      <c r="L13" s="2"/>
    </row>
    <row r="14" spans="1:12" ht="12.75">
      <c r="A14" s="259">
        <v>412300</v>
      </c>
      <c r="B14" s="123" t="s">
        <v>120</v>
      </c>
      <c r="C14" s="88">
        <f>SUMIF(Org!$C$10:Org!$D$585,412300,Org!E$10:Org!E$586)</f>
        <v>90900</v>
      </c>
      <c r="D14" s="88">
        <f>SUMIF(Org!$C$10:Org!$D$585,412300,Org!F$10:Org!F$586)</f>
        <v>93300</v>
      </c>
      <c r="E14" s="114">
        <f t="shared" si="0"/>
        <v>102.64026402640265</v>
      </c>
      <c r="F14" s="320">
        <f t="shared" si="1"/>
        <v>0.3276160873193437</v>
      </c>
      <c r="H14" s="1"/>
      <c r="I14" s="369"/>
      <c r="J14" s="2"/>
      <c r="K14" s="2"/>
      <c r="L14" s="2"/>
    </row>
    <row r="15" spans="1:12" ht="14.25" customHeight="1">
      <c r="A15" s="259">
        <v>412400</v>
      </c>
      <c r="B15" s="123" t="s">
        <v>121</v>
      </c>
      <c r="C15" s="88">
        <f>SUMIF(Org!$C$10:Org!$D$585,412400,Org!E$10:Org!E$586)</f>
        <v>79600</v>
      </c>
      <c r="D15" s="88">
        <f>SUMIF(Org!$C$10:Org!$D$585,412400,Org!F$10:Org!F$586)</f>
        <v>93500</v>
      </c>
      <c r="E15" s="114">
        <f t="shared" si="0"/>
        <v>117.46231155778895</v>
      </c>
      <c r="F15" s="320">
        <f t="shared" si="1"/>
        <v>0.3283183726083455</v>
      </c>
      <c r="H15" s="1"/>
      <c r="I15" s="369"/>
      <c r="J15" s="2"/>
      <c r="K15" s="370"/>
      <c r="L15" s="2"/>
    </row>
    <row r="16" spans="1:12" ht="13.5" customHeight="1">
      <c r="A16" s="259">
        <v>412500</v>
      </c>
      <c r="B16" s="123" t="s">
        <v>122</v>
      </c>
      <c r="C16" s="88">
        <f>SUMIF(Org!$C$10:Org!$D$585,412500,Org!E$10:Org!E$586)</f>
        <v>380300</v>
      </c>
      <c r="D16" s="88">
        <f>SUMIF(Org!$C$10:Org!$D$585,412500,Org!F$10:Org!F$586)</f>
        <v>591000</v>
      </c>
      <c r="E16" s="114">
        <f t="shared" si="0"/>
        <v>155.403628714173</v>
      </c>
      <c r="F16" s="320">
        <f t="shared" si="1"/>
        <v>2.0752530290003444</v>
      </c>
      <c r="H16" s="1"/>
      <c r="I16" s="369"/>
      <c r="J16" s="2"/>
      <c r="K16" s="2"/>
      <c r="L16" s="2"/>
    </row>
    <row r="17" spans="1:12" ht="12.75" customHeight="1">
      <c r="A17" s="259">
        <v>412600</v>
      </c>
      <c r="B17" s="123" t="s">
        <v>123</v>
      </c>
      <c r="C17" s="88">
        <f>SUMIF(Org!$C$10:Org!$D$585,412600,Org!E$10:Org!E$586)</f>
        <v>15500</v>
      </c>
      <c r="D17" s="88">
        <f>SUMIF(Org!$C$10:Org!$D$585,412600,Org!F$10:Org!F$586)</f>
        <v>16900</v>
      </c>
      <c r="E17" s="114">
        <f t="shared" si="0"/>
        <v>109.03225806451613</v>
      </c>
      <c r="F17" s="320">
        <f t="shared" si="1"/>
        <v>0.059343106920652824</v>
      </c>
      <c r="H17" s="1"/>
      <c r="I17" s="369"/>
      <c r="J17" s="2"/>
      <c r="K17" s="2"/>
      <c r="L17" s="2"/>
    </row>
    <row r="18" spans="1:12" ht="12.75" customHeight="1">
      <c r="A18" s="259">
        <v>412700</v>
      </c>
      <c r="B18" s="82" t="s">
        <v>124</v>
      </c>
      <c r="C18" s="88">
        <f>SUMIF(Org!$C$10:Org!$D$585,412700,Org!E$10:Org!E$586)</f>
        <v>463200</v>
      </c>
      <c r="D18" s="88">
        <f>SUMIF(Org!$C$10:Org!$D$585,412700,Org!F$10:Org!F$586)</f>
        <v>515000</v>
      </c>
      <c r="E18" s="114">
        <f t="shared" si="0"/>
        <v>111.18307426597582</v>
      </c>
      <c r="F18" s="320">
        <f t="shared" si="1"/>
        <v>1.8083846191796569</v>
      </c>
      <c r="H18" s="1"/>
      <c r="I18" s="369"/>
      <c r="J18" s="2"/>
      <c r="K18" s="2"/>
      <c r="L18" s="2"/>
    </row>
    <row r="19" spans="1:12" ht="13.5" customHeight="1">
      <c r="A19" s="255">
        <v>412800</v>
      </c>
      <c r="B19" s="87" t="s">
        <v>125</v>
      </c>
      <c r="C19" s="88">
        <f>SUMIF(Org!$C$10:Org!$D$585,412800,Org!E$10:Org!E$586)</f>
        <v>632000</v>
      </c>
      <c r="D19" s="88">
        <f>SUMIF(Org!$C$10:Org!$D$585,412800,Org!F$10:Org!F$586)</f>
        <v>742000</v>
      </c>
      <c r="E19" s="114">
        <f t="shared" si="0"/>
        <v>117.40506329113924</v>
      </c>
      <c r="F19" s="320">
        <f t="shared" si="1"/>
        <v>2.6054784221967098</v>
      </c>
      <c r="H19" s="1"/>
      <c r="I19" s="369"/>
      <c r="J19" s="2"/>
      <c r="K19" s="2"/>
      <c r="L19" s="2"/>
    </row>
    <row r="20" spans="1:12" ht="12.75" customHeight="1">
      <c r="A20" s="255">
        <v>412900</v>
      </c>
      <c r="B20" s="194" t="s">
        <v>305</v>
      </c>
      <c r="C20" s="88">
        <f>SUMIF(Org!$C$10:Org!$D$585,412900,Org!E$10:Org!E$586)</f>
        <v>852900</v>
      </c>
      <c r="D20" s="88">
        <f>SUMIF(Org!$C$10:Org!$D$585,412900,Org!F$10:Org!F$586)</f>
        <v>1210030</v>
      </c>
      <c r="E20" s="114">
        <f t="shared" si="0"/>
        <v>141.87243522101068</v>
      </c>
      <c r="F20" s="320">
        <f t="shared" si="1"/>
        <v>4.248931341254291</v>
      </c>
      <c r="H20" s="1"/>
      <c r="I20" s="369"/>
      <c r="J20" s="2"/>
      <c r="K20" s="2"/>
      <c r="L20" s="2"/>
    </row>
    <row r="21" spans="1:12" ht="15.75" customHeight="1">
      <c r="A21" s="269">
        <v>413000</v>
      </c>
      <c r="B21" s="274" t="s">
        <v>127</v>
      </c>
      <c r="C21" s="275">
        <f>SUM(C22:C24)</f>
        <v>335000</v>
      </c>
      <c r="D21" s="275">
        <f>SUM(D22:D24)</f>
        <v>294000</v>
      </c>
      <c r="E21" s="56">
        <f t="shared" si="0"/>
        <v>87.76119402985074</v>
      </c>
      <c r="F21" s="241">
        <f t="shared" si="1"/>
        <v>1.0323593748326585</v>
      </c>
      <c r="G21" s="1"/>
      <c r="H21" s="1"/>
      <c r="I21" s="369"/>
      <c r="J21" s="2"/>
      <c r="K21" s="2"/>
      <c r="L21" s="2"/>
    </row>
    <row r="22" spans="1:12" ht="12" customHeight="1">
      <c r="A22" s="256">
        <v>413300</v>
      </c>
      <c r="B22" s="82" t="s">
        <v>128</v>
      </c>
      <c r="C22" s="257">
        <f>SUMIF(Org!$C$10:Org!$D$585,413300,Org!E$10:Org!E$586)</f>
        <v>285000</v>
      </c>
      <c r="D22" s="257">
        <f>SUMIF(Org!$C$10:Org!$D$585,413300,Org!F$10:Org!F$586)</f>
        <v>194000</v>
      </c>
      <c r="E22" s="114">
        <f t="shared" si="0"/>
        <v>68.0701754385965</v>
      </c>
      <c r="F22" s="320">
        <f t="shared" si="1"/>
        <v>0.6812167303317543</v>
      </c>
      <c r="H22" s="1"/>
      <c r="I22" s="369"/>
      <c r="J22" s="2"/>
      <c r="K22" s="2"/>
      <c r="L22" s="2"/>
    </row>
    <row r="23" spans="1:12" ht="12.75" customHeight="1" hidden="1">
      <c r="A23" s="256">
        <v>413400</v>
      </c>
      <c r="B23" s="82" t="s">
        <v>129</v>
      </c>
      <c r="C23" s="257"/>
      <c r="D23" s="257"/>
      <c r="E23" s="114">
        <f t="shared" si="0"/>
        <v>0</v>
      </c>
      <c r="F23" s="320">
        <f t="shared" si="1"/>
        <v>0</v>
      </c>
      <c r="H23" s="1"/>
      <c r="I23" s="369"/>
      <c r="J23" s="2"/>
      <c r="K23" s="2"/>
      <c r="L23" s="2"/>
    </row>
    <row r="24" spans="1:12" ht="12" customHeight="1">
      <c r="A24" s="256">
        <v>413700</v>
      </c>
      <c r="B24" s="82" t="s">
        <v>130</v>
      </c>
      <c r="C24" s="257">
        <f>SUMIF(Org!$C$10:Org!$D$585,413700,Org!E$10:Org!E$586)</f>
        <v>50000</v>
      </c>
      <c r="D24" s="257">
        <f>SUMIF(Org!$C$10:Org!$D$585,413700,Org!F$10:Org!F$586)</f>
        <v>100000</v>
      </c>
      <c r="E24" s="114">
        <f t="shared" si="0"/>
        <v>200</v>
      </c>
      <c r="F24" s="320">
        <f t="shared" si="1"/>
        <v>0.35114264450090427</v>
      </c>
      <c r="H24" s="1"/>
      <c r="I24" s="369"/>
      <c r="J24" s="2"/>
      <c r="K24" s="2"/>
      <c r="L24" s="2"/>
    </row>
    <row r="25" spans="1:12" ht="13.5" customHeight="1">
      <c r="A25" s="269">
        <v>414000</v>
      </c>
      <c r="B25" s="270" t="s">
        <v>168</v>
      </c>
      <c r="C25" s="55">
        <f>SUM(C26)</f>
        <v>550000</v>
      </c>
      <c r="D25" s="55">
        <f>SUM(D26)</f>
        <v>495000</v>
      </c>
      <c r="E25" s="56">
        <f t="shared" si="0"/>
        <v>90</v>
      </c>
      <c r="F25" s="241">
        <f t="shared" si="1"/>
        <v>1.7381560902794764</v>
      </c>
      <c r="G25" s="1"/>
      <c r="H25" s="1"/>
      <c r="I25" s="369"/>
      <c r="J25" s="2"/>
      <c r="K25" s="2"/>
      <c r="L25" s="2"/>
    </row>
    <row r="26" spans="1:12" ht="15" customHeight="1">
      <c r="A26" s="256">
        <v>414100</v>
      </c>
      <c r="B26" s="82" t="s">
        <v>168</v>
      </c>
      <c r="C26" s="257">
        <f>SUMIF(Org!$C$10:Org!$D$585,414100,Org!E$10:Org!E$586)</f>
        <v>550000</v>
      </c>
      <c r="D26" s="257">
        <f>SUMIF(Org!$C$10:Org!$D$585,414100,Org!F$10:Org!F$586)</f>
        <v>495000</v>
      </c>
      <c r="E26" s="114">
        <f t="shared" si="0"/>
        <v>90</v>
      </c>
      <c r="F26" s="320">
        <f t="shared" si="1"/>
        <v>1.7381560902794764</v>
      </c>
      <c r="H26" s="1"/>
      <c r="I26" s="369"/>
      <c r="J26" s="2"/>
      <c r="K26" s="2"/>
      <c r="L26" s="2"/>
    </row>
    <row r="27" spans="1:12" ht="14.25" customHeight="1">
      <c r="A27" s="269">
        <v>415000</v>
      </c>
      <c r="B27" s="273" t="s">
        <v>131</v>
      </c>
      <c r="C27" s="55">
        <f>SUM(C28)</f>
        <v>1515500</v>
      </c>
      <c r="D27" s="55">
        <f>SUM(D28)</f>
        <v>1462125</v>
      </c>
      <c r="E27" s="56">
        <f t="shared" si="0"/>
        <v>96.47806004618937</v>
      </c>
      <c r="F27" s="241">
        <f t="shared" si="1"/>
        <v>5.134144390908847</v>
      </c>
      <c r="H27" s="1"/>
      <c r="I27" s="369"/>
      <c r="J27" s="2"/>
      <c r="K27" s="2"/>
      <c r="L27" s="2"/>
    </row>
    <row r="28" spans="1:12" ht="15" customHeight="1">
      <c r="A28" s="255">
        <v>415200</v>
      </c>
      <c r="B28" s="194" t="s">
        <v>132</v>
      </c>
      <c r="C28" s="88">
        <f>SUMIF(Org!$C$10:Org!$D$585,415200,Org!E$10:Org!E$586)</f>
        <v>1515500</v>
      </c>
      <c r="D28" s="88">
        <f>SUMIF(Org!$C$10:Org!$D$585,415200,Org!F$10:Org!F$586)</f>
        <v>1462125</v>
      </c>
      <c r="E28" s="114">
        <f t="shared" si="0"/>
        <v>96.47806004618937</v>
      </c>
      <c r="F28" s="320">
        <f t="shared" si="1"/>
        <v>5.134144390908847</v>
      </c>
      <c r="G28" s="1"/>
      <c r="H28" s="1"/>
      <c r="I28" s="369"/>
      <c r="J28" s="2"/>
      <c r="K28" s="2"/>
      <c r="L28" s="2"/>
    </row>
    <row r="29" spans="1:12" ht="15" customHeight="1">
      <c r="A29" s="269">
        <v>416000</v>
      </c>
      <c r="B29" s="274" t="s">
        <v>605</v>
      </c>
      <c r="C29" s="55">
        <f>SUM(C30:C31)</f>
        <v>4272900</v>
      </c>
      <c r="D29" s="55">
        <f>SUM(D30:D31)</f>
        <v>4885400</v>
      </c>
      <c r="E29" s="56">
        <f t="shared" si="0"/>
        <v>114.33452690210395</v>
      </c>
      <c r="F29" s="241">
        <f t="shared" si="1"/>
        <v>17.154722754447178</v>
      </c>
      <c r="G29" s="1"/>
      <c r="H29" s="1"/>
      <c r="I29" s="371"/>
      <c r="J29" s="2"/>
      <c r="K29" s="2"/>
      <c r="L29" s="2"/>
    </row>
    <row r="30" spans="1:12" ht="12.75">
      <c r="A30" s="256">
        <v>416100</v>
      </c>
      <c r="B30" s="82" t="s">
        <v>603</v>
      </c>
      <c r="C30" s="88">
        <f>SUMIF(Org!$C$10:Org!$D$585,416100,Org!E$10:Org!E$586)</f>
        <v>3828900</v>
      </c>
      <c r="D30" s="88">
        <f>SUMIF(Org!$C$10:Org!$D$585,416100,Org!F$10:Org!F$586)</f>
        <v>4281000</v>
      </c>
      <c r="E30" s="114">
        <f t="shared" si="0"/>
        <v>111.80756875342787</v>
      </c>
      <c r="F30" s="320">
        <f t="shared" si="1"/>
        <v>15.032416611083713</v>
      </c>
      <c r="H30" s="1"/>
      <c r="I30" s="370"/>
      <c r="J30" s="2"/>
      <c r="K30" s="2"/>
      <c r="L30" s="2"/>
    </row>
    <row r="31" spans="1:12" ht="14.25" customHeight="1">
      <c r="A31" s="256">
        <v>416300</v>
      </c>
      <c r="B31" s="82" t="s">
        <v>604</v>
      </c>
      <c r="C31" s="88">
        <f>SUMIF(Org!$C$10:Org!$D$585,416300,Org!E$10:Org!E$586)</f>
        <v>444000</v>
      </c>
      <c r="D31" s="88">
        <f>SUMIF(Org!$C$10:Org!$D$585,416300,Org!F$10:Org!F$586)</f>
        <v>604400</v>
      </c>
      <c r="E31" s="114">
        <f t="shared" si="0"/>
        <v>136.12612612612614</v>
      </c>
      <c r="F31" s="320">
        <f t="shared" si="1"/>
        <v>2.1223061433634656</v>
      </c>
      <c r="H31" s="1"/>
      <c r="I31" s="2"/>
      <c r="J31" s="2"/>
      <c r="K31" s="2"/>
      <c r="L31" s="2"/>
    </row>
    <row r="32" spans="1:12" ht="27" customHeight="1">
      <c r="A32" s="269">
        <v>418000</v>
      </c>
      <c r="B32" s="270" t="s">
        <v>381</v>
      </c>
      <c r="C32" s="55">
        <f>SUM(C33:C35)</f>
        <v>85300</v>
      </c>
      <c r="D32" s="55">
        <f>SUM(D33:D35)</f>
        <v>142400</v>
      </c>
      <c r="E32" s="56">
        <f t="shared" si="0"/>
        <v>166.94021101992968</v>
      </c>
      <c r="F32" s="241">
        <f t="shared" si="1"/>
        <v>0.5000271257692878</v>
      </c>
      <c r="H32" s="1"/>
      <c r="I32" s="480"/>
      <c r="J32" s="2"/>
      <c r="K32" s="2"/>
      <c r="L32" s="2"/>
    </row>
    <row r="33" spans="1:12" ht="12.75">
      <c r="A33" s="256">
        <v>418100</v>
      </c>
      <c r="B33" s="82" t="s">
        <v>367</v>
      </c>
      <c r="C33" s="88">
        <f>SUMIF(Org!$C$10:Org!$D$585,418100,Org!E$10:Org!E$586)</f>
        <v>3400</v>
      </c>
      <c r="D33" s="88">
        <f>SUMIF(Org!$C$10:Org!$D$585,418100,Org!F$10:Org!F$586)</f>
        <v>53000</v>
      </c>
      <c r="E33" s="114">
        <f t="shared" si="0"/>
        <v>1558.8235294117646</v>
      </c>
      <c r="F33" s="320">
        <f t="shared" si="1"/>
        <v>0.18610560158547929</v>
      </c>
      <c r="H33" s="1"/>
      <c r="I33" s="2"/>
      <c r="J33" s="2"/>
      <c r="K33" s="2"/>
      <c r="L33" s="2"/>
    </row>
    <row r="34" spans="1:12" ht="12.75">
      <c r="A34" s="256">
        <v>418200</v>
      </c>
      <c r="B34" s="82" t="s">
        <v>617</v>
      </c>
      <c r="C34" s="88">
        <f>SUMIF(Org!$C$10:Org!$D$585,418200,Org!E$10:Org!E$586)</f>
        <v>31000</v>
      </c>
      <c r="D34" s="88">
        <f>SUMIF(Org!$C$10:Org!$D$585,418200,Org!F$10:Org!F$586)</f>
        <v>37000</v>
      </c>
      <c r="E34" s="114">
        <f t="shared" si="0"/>
        <v>119.35483870967742</v>
      </c>
      <c r="F34" s="320">
        <f t="shared" si="1"/>
        <v>0.12992277846533457</v>
      </c>
      <c r="H34" s="1"/>
      <c r="I34" s="2"/>
      <c r="J34" s="2"/>
      <c r="K34" s="2"/>
      <c r="L34" s="2"/>
    </row>
    <row r="35" spans="1:12" ht="12.75">
      <c r="A35" s="345">
        <v>418400</v>
      </c>
      <c r="B35" s="82" t="s">
        <v>485</v>
      </c>
      <c r="C35" s="88">
        <f>SUMIF(Org!$C$10:Org!$D$585,418400,Org!E$10:Org!E$586)</f>
        <v>50900</v>
      </c>
      <c r="D35" s="88">
        <f>SUMIF(Org!$C$10:Org!$D$585,418400,Org!F$10:Org!F$586)</f>
        <v>52400</v>
      </c>
      <c r="E35" s="114">
        <f t="shared" si="0"/>
        <v>102.94695481335954</v>
      </c>
      <c r="F35" s="320">
        <f t="shared" si="1"/>
        <v>0.18399874571847383</v>
      </c>
      <c r="H35" s="1"/>
      <c r="I35" s="2"/>
      <c r="J35" s="2"/>
      <c r="K35" s="2"/>
      <c r="L35" s="2"/>
    </row>
    <row r="36" spans="1:12" ht="16.5" customHeight="1">
      <c r="A36" s="269">
        <v>419000</v>
      </c>
      <c r="B36" s="270" t="s">
        <v>287</v>
      </c>
      <c r="C36" s="55">
        <f>SUM(C37)</f>
        <v>152500</v>
      </c>
      <c r="D36" s="55">
        <f>SUM(D37)</f>
        <v>232500</v>
      </c>
      <c r="E36" s="56">
        <f t="shared" si="0"/>
        <v>152.45901639344262</v>
      </c>
      <c r="F36" s="241">
        <f t="shared" si="1"/>
        <v>0.8164066484646024</v>
      </c>
      <c r="H36" s="1"/>
      <c r="I36" s="480"/>
      <c r="J36" s="2"/>
      <c r="K36" s="2"/>
      <c r="L36" s="2"/>
    </row>
    <row r="37" spans="1:12" ht="12.75">
      <c r="A37" s="256">
        <v>419100</v>
      </c>
      <c r="B37" s="82" t="s">
        <v>287</v>
      </c>
      <c r="C37" s="88">
        <f>SUMIF(Org!$C$10:Org!$D$585,419100,Org!E$10:Org!E$586)</f>
        <v>152500</v>
      </c>
      <c r="D37" s="88">
        <f>SUMIF(Org!$C$10:Org!$D$585,419100,Org!F$10:Org!F$586)</f>
        <v>232500</v>
      </c>
      <c r="E37" s="114">
        <f t="shared" si="0"/>
        <v>152.45901639344262</v>
      </c>
      <c r="F37" s="320">
        <f t="shared" si="1"/>
        <v>0.8164066484646024</v>
      </c>
      <c r="G37" s="1"/>
      <c r="H37" s="1"/>
      <c r="I37" s="2"/>
      <c r="J37" s="2"/>
      <c r="K37" s="2"/>
      <c r="L37" s="2"/>
    </row>
    <row r="38" spans="1:12" ht="17.25" customHeight="1">
      <c r="A38" s="268">
        <v>480000</v>
      </c>
      <c r="B38" s="253" t="s">
        <v>307</v>
      </c>
      <c r="C38" s="50">
        <f>SUM(C39:C42)</f>
        <v>211500</v>
      </c>
      <c r="D38" s="50">
        <f>SUM(D39:D42)</f>
        <v>240000</v>
      </c>
      <c r="E38" s="50">
        <f t="shared" si="0"/>
        <v>113.47517730496455</v>
      </c>
      <c r="F38" s="176">
        <f t="shared" si="1"/>
        <v>0.8427423468021703</v>
      </c>
      <c r="G38" s="1"/>
      <c r="H38" s="1"/>
      <c r="I38" s="480"/>
      <c r="J38" s="2"/>
      <c r="K38" s="2"/>
      <c r="L38" s="2"/>
    </row>
    <row r="39" spans="1:12" ht="12.75">
      <c r="A39" s="276">
        <v>487200</v>
      </c>
      <c r="B39" s="157" t="s">
        <v>331</v>
      </c>
      <c r="C39" s="88">
        <f>SUMIF(Org!$C$10:Org!$D$585,487200,Org!E$10:Org!E$586)</f>
        <v>6000</v>
      </c>
      <c r="D39" s="88">
        <f>SUMIF(Org!$C$10:Org!$D$585,487200,Org!F$10:Org!F$586)</f>
        <v>10000</v>
      </c>
      <c r="E39" s="114">
        <f t="shared" si="0"/>
        <v>166.66666666666669</v>
      </c>
      <c r="F39" s="320">
        <f t="shared" si="1"/>
        <v>0.03511426445009043</v>
      </c>
      <c r="H39" s="1"/>
      <c r="I39" s="2"/>
      <c r="J39" s="2"/>
      <c r="K39" s="2"/>
      <c r="L39" s="2"/>
    </row>
    <row r="40" spans="1:12" ht="12.75">
      <c r="A40" s="276">
        <v>487300</v>
      </c>
      <c r="B40" s="157" t="s">
        <v>328</v>
      </c>
      <c r="C40" s="88">
        <f>SUMIF(Org!$C$10:Org!$D$585,487300,Org!E$10:Org!E$586)</f>
        <v>3000</v>
      </c>
      <c r="D40" s="88">
        <f>SUMIF(Org!$C$10:Org!$D$585,487300,Org!F$10:Org!F$586)</f>
        <v>10000</v>
      </c>
      <c r="E40" s="114">
        <f t="shared" si="0"/>
        <v>333.33333333333337</v>
      </c>
      <c r="F40" s="320">
        <f t="shared" si="1"/>
        <v>0.03511426445009043</v>
      </c>
      <c r="H40" s="1"/>
      <c r="I40" s="2"/>
      <c r="J40" s="2"/>
      <c r="K40" s="2"/>
      <c r="L40" s="2"/>
    </row>
    <row r="41" spans="1:12" ht="12.75">
      <c r="A41" s="256">
        <v>487400</v>
      </c>
      <c r="B41" s="82" t="s">
        <v>306</v>
      </c>
      <c r="C41" s="88">
        <f>SUMIF(Org!$C$10:Org!$D$585,487400,Org!E$10:Org!E$586)</f>
        <v>181000</v>
      </c>
      <c r="D41" s="88">
        <f>SUMIF(Org!$C$10:Org!$D$585,487400,Org!F$10:Org!F$586)</f>
        <v>196000</v>
      </c>
      <c r="E41" s="114">
        <f t="shared" si="0"/>
        <v>108.28729281767954</v>
      </c>
      <c r="F41" s="320">
        <f t="shared" si="1"/>
        <v>0.6882395832217724</v>
      </c>
      <c r="H41" s="1"/>
      <c r="I41" s="2"/>
      <c r="J41" s="2"/>
      <c r="K41" s="2"/>
      <c r="L41" s="2"/>
    </row>
    <row r="42" spans="1:12" ht="12.75">
      <c r="A42" s="256">
        <v>487900</v>
      </c>
      <c r="B42" s="82" t="s">
        <v>318</v>
      </c>
      <c r="C42" s="88">
        <f>SUMIF(Org!$C$10:Org!$D$585,487900,Org!E$10:Org!E$586)</f>
        <v>21500</v>
      </c>
      <c r="D42" s="88">
        <f>SUMIF(Org!$C$10:Org!$D$585,487900,Org!F$10:Org!F$586)</f>
        <v>24000</v>
      </c>
      <c r="E42" s="114">
        <f t="shared" si="0"/>
        <v>111.62790697674419</v>
      </c>
      <c r="F42" s="320">
        <f t="shared" si="1"/>
        <v>0.08427423468021703</v>
      </c>
      <c r="H42" s="1"/>
      <c r="I42" s="2"/>
      <c r="J42" s="2"/>
      <c r="K42" s="2"/>
      <c r="L42" s="2"/>
    </row>
    <row r="43" spans="1:12" ht="19.5" customHeight="1">
      <c r="A43" s="268" t="s">
        <v>184</v>
      </c>
      <c r="B43" s="277" t="s">
        <v>289</v>
      </c>
      <c r="C43" s="50">
        <f>Org!E586</f>
        <v>210000</v>
      </c>
      <c r="D43" s="50">
        <f>Org!F586</f>
        <v>230000</v>
      </c>
      <c r="E43" s="50">
        <f t="shared" si="0"/>
        <v>109.52380952380953</v>
      </c>
      <c r="F43" s="176">
        <f t="shared" si="1"/>
        <v>0.8076280823520798</v>
      </c>
      <c r="G43" s="1"/>
      <c r="H43" s="1"/>
      <c r="I43" s="2"/>
      <c r="J43" s="2"/>
      <c r="K43" s="2"/>
      <c r="L43" s="2"/>
    </row>
    <row r="44" spans="1:12" ht="17.25" customHeight="1">
      <c r="A44" s="278">
        <v>510000</v>
      </c>
      <c r="B44" s="92" t="s">
        <v>315</v>
      </c>
      <c r="C44" s="44">
        <f>C45+C51+C54</f>
        <v>3785900</v>
      </c>
      <c r="D44" s="44">
        <f>D45+D51+D54</f>
        <v>4997300</v>
      </c>
      <c r="E44" s="44">
        <f t="shared" si="0"/>
        <v>131.997675585726</v>
      </c>
      <c r="F44" s="267">
        <f t="shared" si="1"/>
        <v>17.54765137364369</v>
      </c>
      <c r="G44" s="1"/>
      <c r="H44" s="1"/>
      <c r="I44" s="480"/>
      <c r="J44" s="2"/>
      <c r="K44" s="2"/>
      <c r="L44" s="2"/>
    </row>
    <row r="45" spans="1:12" ht="15.75" customHeight="1">
      <c r="A45" s="269">
        <v>511000</v>
      </c>
      <c r="B45" s="273" t="s">
        <v>133</v>
      </c>
      <c r="C45" s="55">
        <f>SUM(C46:C50)</f>
        <v>3224200</v>
      </c>
      <c r="D45" s="55">
        <f>SUM(D46:D50)</f>
        <v>4416000</v>
      </c>
      <c r="E45" s="56">
        <f t="shared" si="0"/>
        <v>136.96420817567147</v>
      </c>
      <c r="F45" s="241">
        <f t="shared" si="1"/>
        <v>15.506459181159931</v>
      </c>
      <c r="H45" s="1"/>
      <c r="I45" s="2"/>
      <c r="J45" s="2"/>
      <c r="K45" s="2"/>
      <c r="L45" s="2"/>
    </row>
    <row r="46" spans="1:12" ht="12.75" customHeight="1">
      <c r="A46" s="255">
        <v>511100</v>
      </c>
      <c r="B46" s="116" t="s">
        <v>134</v>
      </c>
      <c r="C46" s="257">
        <f>SUMIF(Org!$C$10:Org!$D$585,511100,Org!E$10:Org!E$585)</f>
        <v>140000</v>
      </c>
      <c r="D46" s="257">
        <f>SUMIF(Org!$C$10:Org!$D$585,511100,Org!F$10:Org!F$585)</f>
        <v>130000</v>
      </c>
      <c r="E46" s="114">
        <f t="shared" si="0"/>
        <v>92.85714285714286</v>
      </c>
      <c r="F46" s="320">
        <f t="shared" si="1"/>
        <v>0.45648543785117557</v>
      </c>
      <c r="G46" s="1"/>
      <c r="H46" s="1"/>
      <c r="I46" s="2"/>
      <c r="J46" s="2"/>
      <c r="K46" s="2"/>
      <c r="L46" s="2"/>
    </row>
    <row r="47" spans="1:12" ht="27" customHeight="1">
      <c r="A47" s="256">
        <v>511200</v>
      </c>
      <c r="B47" s="82" t="s">
        <v>135</v>
      </c>
      <c r="C47" s="257">
        <f>SUMIF(Org!$C$10:Org!$D$585,511200,Org!E$10:Org!E$585)</f>
        <v>2458000</v>
      </c>
      <c r="D47" s="257">
        <f>SUMIF(Org!$C$10:Org!$D$585,511200,Org!F$10:Org!F$585)</f>
        <v>3751000</v>
      </c>
      <c r="E47" s="114">
        <f t="shared" si="0"/>
        <v>152.60374288039057</v>
      </c>
      <c r="F47" s="320">
        <f t="shared" si="1"/>
        <v>13.17136059522892</v>
      </c>
      <c r="H47" s="1"/>
      <c r="I47" s="2"/>
      <c r="J47" s="2"/>
      <c r="K47" s="2"/>
      <c r="L47" s="2"/>
    </row>
    <row r="48" spans="1:12" ht="12.75" customHeight="1">
      <c r="A48" s="256">
        <v>511300</v>
      </c>
      <c r="B48" s="123" t="s">
        <v>136</v>
      </c>
      <c r="C48" s="257">
        <f>SUMIF(Org!$C$10:Org!$D$585,511300,Org!E$10:Org!E$585)</f>
        <v>616200</v>
      </c>
      <c r="D48" s="257">
        <f>SUMIF(Org!$C$10:Org!$D$585,511300,Org!F$10:Org!F$585)</f>
        <v>533000</v>
      </c>
      <c r="E48" s="114">
        <f t="shared" si="0"/>
        <v>86.49789029535864</v>
      </c>
      <c r="F48" s="320">
        <f t="shared" si="1"/>
        <v>1.8715902951898198</v>
      </c>
      <c r="H48" s="1"/>
      <c r="I48" s="2"/>
      <c r="J48" s="2"/>
      <c r="K48" s="2"/>
      <c r="L48" s="2"/>
    </row>
    <row r="49" spans="1:12" ht="12.75" customHeight="1">
      <c r="A49" s="256">
        <v>511400</v>
      </c>
      <c r="B49" s="123" t="s">
        <v>216</v>
      </c>
      <c r="C49" s="257">
        <f>SUMIF(Org!$C$10:Org!$D$585,511400,Org!E$10:Org!E$585)</f>
        <v>10000</v>
      </c>
      <c r="D49" s="257">
        <f>SUMIF(Org!$C$10:Org!$D$585,511400,Org!F$10:Org!F$585)</f>
        <v>2000</v>
      </c>
      <c r="E49" s="114">
        <f t="shared" si="0"/>
        <v>20</v>
      </c>
      <c r="F49" s="320">
        <f t="shared" si="1"/>
        <v>0.007022852890018086</v>
      </c>
      <c r="H49" s="1"/>
      <c r="I49" s="2"/>
      <c r="J49" s="2"/>
      <c r="K49" s="2"/>
      <c r="L49" s="2"/>
    </row>
    <row r="50" spans="1:12" ht="12.75" customHeight="1" hidden="1">
      <c r="A50" s="256">
        <v>511700</v>
      </c>
      <c r="B50" s="123" t="s">
        <v>463</v>
      </c>
      <c r="C50" s="257">
        <f>SUMIF(Org!$C$10:Org!$D$585,511700,Org!E$10:Org!E$585)</f>
        <v>0</v>
      </c>
      <c r="D50" s="257">
        <f>SUMIF(Org!$C$10:Org!$D$585,511700,Org!F$10:Org!F$585)</f>
        <v>0</v>
      </c>
      <c r="E50" s="114">
        <f t="shared" si="0"/>
        <v>0</v>
      </c>
      <c r="F50" s="320">
        <f t="shared" si="1"/>
        <v>0</v>
      </c>
      <c r="H50" s="1"/>
      <c r="I50" s="2"/>
      <c r="J50" s="2"/>
      <c r="K50" s="2"/>
      <c r="L50" s="2"/>
    </row>
    <row r="51" spans="1:12" ht="15.75" customHeight="1">
      <c r="A51" s="279">
        <v>513000</v>
      </c>
      <c r="B51" s="273" t="s">
        <v>159</v>
      </c>
      <c r="C51" s="55">
        <f>SUM(C52:C53)</f>
        <v>150000</v>
      </c>
      <c r="D51" s="55">
        <f>SUM(D52:D53)</f>
        <v>40000</v>
      </c>
      <c r="E51" s="56">
        <f t="shared" si="0"/>
        <v>26.666666666666668</v>
      </c>
      <c r="F51" s="241">
        <f t="shared" si="1"/>
        <v>0.14045705780036172</v>
      </c>
      <c r="G51" s="1"/>
      <c r="H51" s="1"/>
      <c r="I51" s="2"/>
      <c r="J51" s="2"/>
      <c r="K51" s="2"/>
      <c r="L51" s="2"/>
    </row>
    <row r="52" spans="1:12" ht="12.75" customHeight="1">
      <c r="A52" s="256">
        <v>513100</v>
      </c>
      <c r="B52" s="123" t="s">
        <v>160</v>
      </c>
      <c r="C52" s="257">
        <f>SUMIF(Org!$C$10:Org!$D$585,513100,Org!E$10:Org!E$585)</f>
        <v>150000</v>
      </c>
      <c r="D52" s="257">
        <f>SUMIF(Org!$C$10:Org!$D$585,513100,Org!F$10:Org!F$585)</f>
        <v>40000</v>
      </c>
      <c r="E52" s="114">
        <f t="shared" si="0"/>
        <v>26.666666666666668</v>
      </c>
      <c r="F52" s="320">
        <f t="shared" si="1"/>
        <v>0.14045705780036172</v>
      </c>
      <c r="H52" s="1"/>
      <c r="I52" s="2"/>
      <c r="J52" s="2"/>
      <c r="K52" s="2"/>
      <c r="L52" s="2"/>
    </row>
    <row r="53" spans="1:12" ht="12.75" customHeight="1" hidden="1">
      <c r="A53" s="256">
        <v>513700</v>
      </c>
      <c r="B53" s="123" t="s">
        <v>464</v>
      </c>
      <c r="C53" s="257"/>
      <c r="D53" s="257"/>
      <c r="E53" s="44">
        <f t="shared" si="0"/>
        <v>0</v>
      </c>
      <c r="F53" s="267">
        <f t="shared" si="1"/>
        <v>0</v>
      </c>
      <c r="H53" s="1"/>
      <c r="I53" s="2"/>
      <c r="J53" s="2"/>
      <c r="K53" s="2"/>
      <c r="L53" s="2"/>
    </row>
    <row r="54" spans="1:12" ht="28.5" customHeight="1">
      <c r="A54" s="279">
        <v>516000</v>
      </c>
      <c r="B54" s="270" t="s">
        <v>260</v>
      </c>
      <c r="C54" s="55">
        <f>SUM(C55)</f>
        <v>411700</v>
      </c>
      <c r="D54" s="55">
        <f>SUM(D55)</f>
        <v>541300</v>
      </c>
      <c r="E54" s="56">
        <f t="shared" si="0"/>
        <v>131.4792324508137</v>
      </c>
      <c r="F54" s="241">
        <f t="shared" si="1"/>
        <v>1.900735134683395</v>
      </c>
      <c r="G54" s="1"/>
      <c r="H54" s="1"/>
      <c r="I54" s="2"/>
      <c r="J54" s="2"/>
      <c r="K54" s="2"/>
      <c r="L54" s="2"/>
    </row>
    <row r="55" spans="1:12" ht="24.75" customHeight="1">
      <c r="A55" s="256">
        <v>516100</v>
      </c>
      <c r="B55" s="82" t="s">
        <v>260</v>
      </c>
      <c r="C55" s="257">
        <f>SUMIF(Org!$C$10:Org!$D$585,516100,Org!E$10:Org!E$585)</f>
        <v>411700</v>
      </c>
      <c r="D55" s="257">
        <f>SUMIF(Org!$C$10:Org!$D$585,516100,Org!F$10:Org!F$585)</f>
        <v>541300</v>
      </c>
      <c r="E55" s="114">
        <f t="shared" si="0"/>
        <v>131.4792324508137</v>
      </c>
      <c r="F55" s="320">
        <f t="shared" si="1"/>
        <v>1.900735134683395</v>
      </c>
      <c r="H55" s="1"/>
      <c r="I55" s="2"/>
      <c r="J55" s="2"/>
      <c r="K55" s="2"/>
      <c r="L55" s="2"/>
    </row>
    <row r="56" spans="1:12" ht="31.5" customHeight="1" thickBot="1">
      <c r="A56" s="280"/>
      <c r="B56" s="95" t="s">
        <v>249</v>
      </c>
      <c r="C56" s="97">
        <f>C4+C44</f>
        <v>25711600</v>
      </c>
      <c r="D56" s="97">
        <f>D4+D44</f>
        <v>28478455</v>
      </c>
      <c r="E56" s="97">
        <f t="shared" si="0"/>
        <v>110.76111560540767</v>
      </c>
      <c r="F56" s="281">
        <f t="shared" si="1"/>
        <v>100</v>
      </c>
      <c r="G56" s="1"/>
      <c r="H56" s="1"/>
      <c r="I56" s="2"/>
      <c r="J56" s="2"/>
      <c r="K56" s="2"/>
      <c r="L56" s="2"/>
    </row>
    <row r="57" spans="1:12" ht="22.5" customHeight="1" thickTop="1">
      <c r="A57" s="16"/>
      <c r="B57" s="35"/>
      <c r="C57" s="34"/>
      <c r="D57" s="34"/>
      <c r="E57" s="34"/>
      <c r="F57" s="36"/>
      <c r="G57" s="1"/>
      <c r="H57" s="1"/>
      <c r="I57" s="2"/>
      <c r="J57" s="2"/>
      <c r="K57" s="2"/>
      <c r="L57" s="2"/>
    </row>
    <row r="58" spans="1:12" ht="22.5" customHeight="1">
      <c r="A58" s="16"/>
      <c r="B58" s="473"/>
      <c r="C58" s="474"/>
      <c r="D58" s="474"/>
      <c r="E58" s="34"/>
      <c r="F58" s="36"/>
      <c r="G58" s="1"/>
      <c r="H58" s="1"/>
      <c r="I58" s="2"/>
      <c r="J58" s="2"/>
      <c r="K58" s="2"/>
      <c r="L58" s="2"/>
    </row>
    <row r="59" spans="2:12" ht="16.5" customHeight="1">
      <c r="B59" s="370"/>
      <c r="C59" s="369"/>
      <c r="D59" s="369"/>
      <c r="H59" s="2"/>
      <c r="I59" s="2"/>
      <c r="J59" s="2"/>
      <c r="K59" s="2"/>
      <c r="L59" s="2"/>
    </row>
    <row r="60" spans="2:12" ht="16.5" customHeight="1">
      <c r="B60" s="475"/>
      <c r="C60" s="375"/>
      <c r="D60" s="375"/>
      <c r="E60" s="1"/>
      <c r="H60" s="2"/>
      <c r="I60" s="2"/>
      <c r="J60" s="2"/>
      <c r="K60" s="2"/>
      <c r="L60" s="2"/>
    </row>
    <row r="61" spans="2:12" ht="12.75" customHeight="1">
      <c r="B61" s="373"/>
      <c r="C61" s="372"/>
      <c r="D61" s="372"/>
      <c r="H61" s="2"/>
      <c r="I61" s="2"/>
      <c r="J61" s="2"/>
      <c r="K61" s="2"/>
      <c r="L61" s="2"/>
    </row>
    <row r="62" spans="2:12" ht="12.75" customHeight="1">
      <c r="B62" s="373"/>
      <c r="C62" s="372"/>
      <c r="D62" s="372"/>
      <c r="H62" s="2"/>
      <c r="I62" s="2"/>
      <c r="J62" s="2"/>
      <c r="K62" s="2"/>
      <c r="L62" s="2"/>
    </row>
    <row r="63" spans="2:12" ht="12.75" customHeight="1">
      <c r="B63" s="2"/>
      <c r="C63" s="369"/>
      <c r="D63" s="369"/>
      <c r="H63" s="2"/>
      <c r="I63" s="2"/>
      <c r="J63" s="2"/>
      <c r="K63" s="2"/>
      <c r="L63" s="2"/>
    </row>
    <row r="64" ht="8.25" customHeight="1"/>
    <row r="65" spans="2:4" ht="12.75" customHeight="1" hidden="1">
      <c r="B65" s="357" t="s">
        <v>517</v>
      </c>
      <c r="C65" s="1"/>
      <c r="D65" s="1"/>
    </row>
    <row r="66" spans="2:4" ht="12.75" customHeight="1" hidden="1">
      <c r="B66" s="357" t="s">
        <v>518</v>
      </c>
      <c r="C66" s="1"/>
      <c r="D66" s="1"/>
    </row>
    <row r="67" spans="3:4" ht="12.75" customHeight="1" hidden="1">
      <c r="C67" s="1"/>
      <c r="D67" s="1"/>
    </row>
  </sheetData>
  <sheetProtection/>
  <mergeCells count="1">
    <mergeCell ref="A1:F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scale="105" r:id="rId1"/>
  <headerFooter alignWithMargins="0">
    <oddFooter>&amp;R&amp;P</oddFooter>
  </headerFooter>
  <rowBreaks count="1" manualBreakCount="1">
    <brk id="3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="106" zoomScaleNormal="106" zoomScalePageLayoutView="0" workbookViewId="0" topLeftCell="A1">
      <selection activeCell="D28" sqref="D28:D29"/>
    </sheetView>
  </sheetViews>
  <sheetFormatPr defaultColWidth="9.140625" defaultRowHeight="12.75"/>
  <cols>
    <col min="1" max="1" width="12.8515625" style="0" customWidth="1"/>
    <col min="2" max="2" width="69.57421875" style="0" customWidth="1"/>
    <col min="3" max="3" width="18.7109375" style="0" customWidth="1"/>
    <col min="4" max="4" width="16.8515625" style="0" customWidth="1"/>
  </cols>
  <sheetData>
    <row r="1" spans="1:4" ht="39.75" customHeight="1" thickBot="1">
      <c r="A1" s="493" t="s">
        <v>612</v>
      </c>
      <c r="B1" s="493"/>
      <c r="C1" s="493"/>
      <c r="D1" s="493"/>
    </row>
    <row r="2" spans="1:4" ht="18.75" customHeight="1" thickTop="1">
      <c r="A2" s="494" t="s">
        <v>56</v>
      </c>
      <c r="B2" s="496" t="s">
        <v>194</v>
      </c>
      <c r="C2" s="516" t="s">
        <v>666</v>
      </c>
      <c r="D2" s="518" t="s">
        <v>602</v>
      </c>
    </row>
    <row r="3" spans="1:4" ht="44.25" customHeight="1">
      <c r="A3" s="495"/>
      <c r="B3" s="497"/>
      <c r="C3" s="517"/>
      <c r="D3" s="519"/>
    </row>
    <row r="4" spans="1:4" s="5" customFormat="1" ht="12.75" customHeight="1">
      <c r="A4" s="102">
        <v>1</v>
      </c>
      <c r="B4" s="100">
        <v>2</v>
      </c>
      <c r="C4" s="444">
        <v>3</v>
      </c>
      <c r="D4" s="423">
        <v>4</v>
      </c>
    </row>
    <row r="5" spans="1:4" ht="21" customHeight="1">
      <c r="A5" s="276"/>
      <c r="B5" s="253" t="s">
        <v>245</v>
      </c>
      <c r="C5" s="437">
        <f>C6-C8</f>
        <v>0</v>
      </c>
      <c r="D5" s="159">
        <f>D6-D8</f>
        <v>0</v>
      </c>
    </row>
    <row r="6" spans="1:4" ht="16.5" customHeight="1">
      <c r="A6" s="424">
        <v>910000</v>
      </c>
      <c r="B6" s="254" t="s">
        <v>239</v>
      </c>
      <c r="C6" s="57">
        <f>SUM(C7)</f>
        <v>0</v>
      </c>
      <c r="D6" s="58">
        <f>SUM(D7)</f>
        <v>0</v>
      </c>
    </row>
    <row r="7" spans="1:4" ht="18" customHeight="1">
      <c r="A7" s="276">
        <v>911000</v>
      </c>
      <c r="B7" s="157" t="s">
        <v>240</v>
      </c>
      <c r="C7" s="63">
        <v>0</v>
      </c>
      <c r="D7" s="64">
        <v>0</v>
      </c>
    </row>
    <row r="8" spans="1:4" ht="18" customHeight="1">
      <c r="A8" s="424">
        <v>610000</v>
      </c>
      <c r="B8" s="254" t="s">
        <v>241</v>
      </c>
      <c r="C8" s="57">
        <f>SUM(C9)</f>
        <v>0</v>
      </c>
      <c r="D8" s="58">
        <f>SUM(D9)</f>
        <v>0</v>
      </c>
    </row>
    <row r="9" spans="1:4" ht="17.25" customHeight="1">
      <c r="A9" s="255">
        <v>611000</v>
      </c>
      <c r="B9" s="157" t="s">
        <v>242</v>
      </c>
      <c r="C9" s="63">
        <f>Org!E439</f>
        <v>0</v>
      </c>
      <c r="D9" s="64">
        <f>Org!F439</f>
        <v>0</v>
      </c>
    </row>
    <row r="10" spans="1:4" ht="15.75" customHeight="1">
      <c r="A10" s="255"/>
      <c r="B10" s="253" t="s">
        <v>259</v>
      </c>
      <c r="C10" s="437">
        <f>C11-C17</f>
        <v>-512000</v>
      </c>
      <c r="D10" s="159">
        <f>D11-D17</f>
        <v>1255000</v>
      </c>
    </row>
    <row r="11" spans="1:4" ht="18" customHeight="1">
      <c r="A11" s="424">
        <v>920000</v>
      </c>
      <c r="B11" s="254" t="s">
        <v>246</v>
      </c>
      <c r="C11" s="57">
        <f>C12+C14</f>
        <v>1300000</v>
      </c>
      <c r="D11" s="58">
        <f>D12+D14</f>
        <v>2700000</v>
      </c>
    </row>
    <row r="12" spans="1:4" ht="18" customHeight="1">
      <c r="A12" s="424">
        <v>921000</v>
      </c>
      <c r="B12" s="80" t="s">
        <v>372</v>
      </c>
      <c r="C12" s="445">
        <f>SUM(C13)</f>
        <v>1300000</v>
      </c>
      <c r="D12" s="425">
        <f>SUM(D13)</f>
        <v>0</v>
      </c>
    </row>
    <row r="13" spans="1:4" ht="17.25" customHeight="1">
      <c r="A13" s="276">
        <v>921200</v>
      </c>
      <c r="B13" s="69" t="s">
        <v>271</v>
      </c>
      <c r="C13" s="63">
        <v>1300000</v>
      </c>
      <c r="D13" s="64">
        <v>0</v>
      </c>
    </row>
    <row r="14" spans="1:4" ht="17.25" customHeight="1">
      <c r="A14" s="464">
        <v>928000</v>
      </c>
      <c r="B14" s="80" t="s">
        <v>636</v>
      </c>
      <c r="C14" s="447">
        <f>SUM(C15:C16)</f>
        <v>0</v>
      </c>
      <c r="D14" s="76">
        <f>SUM(D15:D16)</f>
        <v>2700000</v>
      </c>
    </row>
    <row r="15" spans="1:4" ht="17.25" customHeight="1">
      <c r="A15" s="276">
        <v>928100</v>
      </c>
      <c r="B15" s="69" t="s">
        <v>637</v>
      </c>
      <c r="C15" s="63">
        <v>0</v>
      </c>
      <c r="D15" s="64">
        <v>2700000</v>
      </c>
    </row>
    <row r="16" spans="1:4" ht="17.25" customHeight="1" hidden="1">
      <c r="A16" s="276">
        <v>928100</v>
      </c>
      <c r="B16" s="69" t="s">
        <v>638</v>
      </c>
      <c r="C16" s="63">
        <v>0</v>
      </c>
      <c r="D16" s="64">
        <v>0</v>
      </c>
    </row>
    <row r="17" spans="1:4" ht="17.25" customHeight="1">
      <c r="A17" s="424">
        <v>620000</v>
      </c>
      <c r="B17" s="254" t="s">
        <v>244</v>
      </c>
      <c r="C17" s="57">
        <f>C18+C21</f>
        <v>1812000</v>
      </c>
      <c r="D17" s="58">
        <f>D18+D21</f>
        <v>1445000</v>
      </c>
    </row>
    <row r="18" spans="1:4" ht="17.25" customHeight="1">
      <c r="A18" s="424">
        <v>621000</v>
      </c>
      <c r="B18" s="80" t="s">
        <v>137</v>
      </c>
      <c r="C18" s="445">
        <f>SUM(C19:C20)</f>
        <v>1632000</v>
      </c>
      <c r="D18" s="425">
        <f>SUM(D19:D20)</f>
        <v>1265000</v>
      </c>
    </row>
    <row r="19" spans="1:4" ht="16.5" customHeight="1">
      <c r="A19" s="345">
        <v>621300</v>
      </c>
      <c r="B19" s="82" t="s">
        <v>144</v>
      </c>
      <c r="C19" s="289">
        <f>SUMIF(Org!$C$10:$D$579,621300,Org!E$10:E$579)</f>
        <v>1547000</v>
      </c>
      <c r="D19" s="258">
        <f>SUMIF(Org!$C$10:$D$579,621300,Org!F$10:F$579)</f>
        <v>1180000</v>
      </c>
    </row>
    <row r="20" spans="1:4" ht="15.75" customHeight="1">
      <c r="A20" s="256">
        <v>621900</v>
      </c>
      <c r="B20" s="82" t="s">
        <v>273</v>
      </c>
      <c r="C20" s="289">
        <f>SUMIF(Org!$C$10:$D$579,621900,Org!E$10:E$579)</f>
        <v>85000</v>
      </c>
      <c r="D20" s="258">
        <f>SUMIF(Org!$C$10:$D$579,621900,Org!F$10:F$579)</f>
        <v>85000</v>
      </c>
    </row>
    <row r="21" spans="1:4" ht="15.75" customHeight="1">
      <c r="A21" s="424">
        <v>628000</v>
      </c>
      <c r="B21" s="134" t="s">
        <v>368</v>
      </c>
      <c r="C21" s="446">
        <f>SUM(C22)</f>
        <v>180000</v>
      </c>
      <c r="D21" s="426">
        <f>SUM(D22)</f>
        <v>180000</v>
      </c>
    </row>
    <row r="22" spans="1:4" ht="15.75" customHeight="1">
      <c r="A22" s="256">
        <v>628100</v>
      </c>
      <c r="B22" s="82" t="s">
        <v>371</v>
      </c>
      <c r="C22" s="289">
        <f>SUMIF(Org!$C$10:$D$579,628100,Org!E$10:E$579)</f>
        <v>180000</v>
      </c>
      <c r="D22" s="258">
        <f>SUMIF(Org!$C$10:$D$579,628100,Org!F$10:F$579)</f>
        <v>180000</v>
      </c>
    </row>
    <row r="23" spans="1:4" ht="20.25" customHeight="1">
      <c r="A23" s="256"/>
      <c r="B23" s="253" t="s">
        <v>309</v>
      </c>
      <c r="C23" s="437">
        <f>C24-C30</f>
        <v>-31400</v>
      </c>
      <c r="D23" s="159">
        <f>D24-D30</f>
        <v>-186545</v>
      </c>
    </row>
    <row r="24" spans="1:4" ht="15.75" customHeight="1">
      <c r="A24" s="424">
        <v>930000</v>
      </c>
      <c r="B24" s="254" t="s">
        <v>310</v>
      </c>
      <c r="C24" s="57">
        <f>C25+C27</f>
        <v>365000</v>
      </c>
      <c r="D24" s="58">
        <f>D25+D27</f>
        <v>360000</v>
      </c>
    </row>
    <row r="25" spans="1:4" ht="17.25" customHeight="1">
      <c r="A25" s="424">
        <v>931000</v>
      </c>
      <c r="B25" s="80" t="s">
        <v>294</v>
      </c>
      <c r="C25" s="445">
        <f>SUM(C26:C26)</f>
        <v>35000</v>
      </c>
      <c r="D25" s="425">
        <f>SUM(D26:D26)</f>
        <v>44000</v>
      </c>
    </row>
    <row r="26" spans="1:4" ht="16.5" customHeight="1">
      <c r="A26" s="276">
        <v>931100</v>
      </c>
      <c r="B26" s="157" t="s">
        <v>490</v>
      </c>
      <c r="C26" s="63">
        <v>35000</v>
      </c>
      <c r="D26" s="64">
        <v>44000</v>
      </c>
    </row>
    <row r="27" spans="1:4" ht="20.25" customHeight="1">
      <c r="A27" s="424">
        <v>938000</v>
      </c>
      <c r="B27" s="260" t="s">
        <v>337</v>
      </c>
      <c r="C27" s="447">
        <f>SUM(C28:C29)</f>
        <v>330000</v>
      </c>
      <c r="D27" s="76">
        <f>SUM(D28:D29)</f>
        <v>316000</v>
      </c>
    </row>
    <row r="28" spans="1:4" ht="25.5">
      <c r="A28" s="256">
        <v>938100</v>
      </c>
      <c r="B28" s="69" t="s">
        <v>338</v>
      </c>
      <c r="C28" s="144">
        <v>270000</v>
      </c>
      <c r="D28" s="427">
        <v>176000</v>
      </c>
    </row>
    <row r="29" spans="1:4" ht="25.5">
      <c r="A29" s="345">
        <v>938100</v>
      </c>
      <c r="B29" s="69" t="s">
        <v>491</v>
      </c>
      <c r="C29" s="144">
        <v>60000</v>
      </c>
      <c r="D29" s="427">
        <v>140000</v>
      </c>
    </row>
    <row r="30" spans="1:4" ht="15.75" customHeight="1">
      <c r="A30" s="424">
        <v>630000</v>
      </c>
      <c r="B30" s="254" t="s">
        <v>311</v>
      </c>
      <c r="C30" s="57">
        <f>C31+C35</f>
        <v>396400</v>
      </c>
      <c r="D30" s="58">
        <f>D31+D35</f>
        <v>546545</v>
      </c>
    </row>
    <row r="31" spans="1:4" ht="15.75" customHeight="1">
      <c r="A31" s="424">
        <v>631000</v>
      </c>
      <c r="B31" s="260" t="s">
        <v>296</v>
      </c>
      <c r="C31" s="447">
        <f>SUM(C32:C34)</f>
        <v>79600</v>
      </c>
      <c r="D31" s="76">
        <f>SUM(D32:D34)</f>
        <v>126000</v>
      </c>
    </row>
    <row r="32" spans="1:4" ht="15.75" customHeight="1">
      <c r="A32" s="428">
        <v>631100</v>
      </c>
      <c r="B32" s="429" t="s">
        <v>492</v>
      </c>
      <c r="C32" s="448">
        <f>Org!E447</f>
        <v>35000</v>
      </c>
      <c r="D32" s="316">
        <f>Org!F447</f>
        <v>44000</v>
      </c>
    </row>
    <row r="33" spans="1:4" ht="15.75" customHeight="1">
      <c r="A33" s="259">
        <v>631300</v>
      </c>
      <c r="B33" s="157" t="s">
        <v>393</v>
      </c>
      <c r="C33" s="63">
        <f>Org!E577+Org!E578</f>
        <v>39600</v>
      </c>
      <c r="D33" s="64">
        <f>Org!F577+Org!F578</f>
        <v>65000</v>
      </c>
    </row>
    <row r="34" spans="1:4" ht="28.5" customHeight="1">
      <c r="A34" s="256">
        <v>631900</v>
      </c>
      <c r="B34" s="69" t="s">
        <v>341</v>
      </c>
      <c r="C34" s="144">
        <f>Org!E579</f>
        <v>5000</v>
      </c>
      <c r="D34" s="427">
        <f>Org!F579</f>
        <v>17000</v>
      </c>
    </row>
    <row r="35" spans="1:4" ht="15.75" customHeight="1">
      <c r="A35" s="424">
        <v>638000</v>
      </c>
      <c r="B35" s="80" t="s">
        <v>332</v>
      </c>
      <c r="C35" s="445">
        <f>SUM(C36:C37)</f>
        <v>316800</v>
      </c>
      <c r="D35" s="425">
        <f>SUM(D36:D37)</f>
        <v>420545</v>
      </c>
    </row>
    <row r="36" spans="1:4" ht="25.5">
      <c r="A36" s="256">
        <v>638100</v>
      </c>
      <c r="B36" s="69" t="s">
        <v>302</v>
      </c>
      <c r="C36" s="144">
        <f>SUMIF(Org!$C$10:$D$579,638100,Org!E$10:E$579)</f>
        <v>312300</v>
      </c>
      <c r="D36" s="427">
        <f>SUMIF(Org!$C$10:$D$579,638100,Org!F$10:F$579)</f>
        <v>406000</v>
      </c>
    </row>
    <row r="37" spans="1:4" ht="25.5">
      <c r="A37" s="256">
        <v>638100</v>
      </c>
      <c r="B37" s="82" t="s">
        <v>339</v>
      </c>
      <c r="C37" s="144">
        <f>Org!E581</f>
        <v>4500</v>
      </c>
      <c r="D37" s="427">
        <f>Org!F581</f>
        <v>14545</v>
      </c>
    </row>
    <row r="38" spans="1:4" ht="18" customHeight="1">
      <c r="A38" s="424"/>
      <c r="B38" s="253" t="s">
        <v>392</v>
      </c>
      <c r="C38" s="437">
        <f>SUM(C39:C44)</f>
        <v>320000</v>
      </c>
      <c r="D38" s="159">
        <f>SUM(D39:D44)</f>
        <v>440000</v>
      </c>
    </row>
    <row r="39" spans="1:4" ht="15" customHeight="1">
      <c r="A39" s="261" t="s">
        <v>270</v>
      </c>
      <c r="B39" s="82" t="s">
        <v>276</v>
      </c>
      <c r="C39" s="289">
        <v>60000</v>
      </c>
      <c r="D39" s="258">
        <v>127000</v>
      </c>
    </row>
    <row r="40" spans="1:4" ht="26.25" customHeight="1">
      <c r="A40" s="261" t="s">
        <v>270</v>
      </c>
      <c r="B40" s="82" t="s">
        <v>277</v>
      </c>
      <c r="C40" s="289">
        <v>250000</v>
      </c>
      <c r="D40" s="258">
        <v>270000</v>
      </c>
    </row>
    <row r="41" spans="1:4" ht="12.75" customHeight="1">
      <c r="A41" s="261" t="s">
        <v>270</v>
      </c>
      <c r="B41" s="82" t="s">
        <v>419</v>
      </c>
      <c r="C41" s="144">
        <v>10000</v>
      </c>
      <c r="D41" s="427">
        <v>43000</v>
      </c>
    </row>
    <row r="42" spans="1:4" ht="26.25" customHeight="1" hidden="1">
      <c r="A42" s="261" t="s">
        <v>270</v>
      </c>
      <c r="B42" s="82" t="s">
        <v>411</v>
      </c>
      <c r="C42" s="289"/>
      <c r="D42" s="258"/>
    </row>
    <row r="43" spans="1:4" ht="0.75" customHeight="1" hidden="1">
      <c r="A43" s="261" t="s">
        <v>270</v>
      </c>
      <c r="B43" s="82" t="s">
        <v>386</v>
      </c>
      <c r="C43" s="289"/>
      <c r="D43" s="258"/>
    </row>
    <row r="44" spans="1:4" ht="24.75" customHeight="1" hidden="1">
      <c r="A44" s="261" t="s">
        <v>270</v>
      </c>
      <c r="B44" s="82" t="s">
        <v>417</v>
      </c>
      <c r="C44" s="289"/>
      <c r="D44" s="258"/>
    </row>
    <row r="45" spans="1:4" s="5" customFormat="1" ht="24.75" customHeight="1" thickBot="1">
      <c r="A45" s="430"/>
      <c r="B45" s="431" t="s">
        <v>312</v>
      </c>
      <c r="C45" s="449">
        <f>C5+C10+C23+C38</f>
        <v>-223400</v>
      </c>
      <c r="D45" s="98">
        <f>D5+D10+D23+D38</f>
        <v>1508455</v>
      </c>
    </row>
    <row r="46" spans="1:2" ht="18" customHeight="1" thickTop="1">
      <c r="A46" s="22"/>
      <c r="B46" s="20"/>
    </row>
    <row r="47" spans="1:2" ht="18" customHeight="1">
      <c r="A47" s="22"/>
      <c r="B47" s="20"/>
    </row>
    <row r="48" spans="1:2" ht="18" customHeight="1">
      <c r="A48" s="22"/>
      <c r="B48" s="20"/>
    </row>
    <row r="49" spans="1:3" ht="0.75" customHeight="1">
      <c r="A49" s="3"/>
      <c r="B49" s="20" t="s">
        <v>560</v>
      </c>
      <c r="C49" s="1">
        <f>C7+C13+C24+C38</f>
        <v>1985000</v>
      </c>
    </row>
    <row r="50" spans="1:3" ht="12.75" customHeight="1" hidden="1">
      <c r="A50" s="3"/>
      <c r="B50" s="20" t="s">
        <v>561</v>
      </c>
      <c r="C50" s="1">
        <f>C9+C17+C30</f>
        <v>2208400</v>
      </c>
    </row>
    <row r="51" spans="1:3" ht="18.75" customHeight="1" hidden="1">
      <c r="A51" s="3"/>
      <c r="B51" s="321" t="s">
        <v>579</v>
      </c>
      <c r="C51" s="1">
        <f>C49-C50</f>
        <v>-223400</v>
      </c>
    </row>
    <row r="52" ht="16.5" customHeight="1">
      <c r="A52" s="4"/>
    </row>
    <row r="53" spans="1:3" ht="15.75" customHeight="1">
      <c r="A53" s="23"/>
      <c r="B53" s="23"/>
      <c r="C53" s="1"/>
    </row>
    <row r="54" spans="1:2" ht="12.75">
      <c r="A54" s="23"/>
      <c r="B54" s="23"/>
    </row>
    <row r="55" spans="1:2" ht="17.25" customHeight="1">
      <c r="A55" s="23"/>
      <c r="B55" s="23"/>
    </row>
    <row r="56" spans="1:2" ht="12.75">
      <c r="A56" s="23"/>
      <c r="B56" s="23"/>
    </row>
    <row r="57" spans="1:2" ht="12.75">
      <c r="A57" s="23"/>
      <c r="B57" s="23"/>
    </row>
    <row r="58" spans="1:2" ht="12.75">
      <c r="A58" s="23"/>
      <c r="B58" s="23"/>
    </row>
    <row r="59" spans="1:2" ht="23.25" customHeight="1">
      <c r="A59" s="23"/>
      <c r="B59" s="23"/>
    </row>
    <row r="60" spans="1:2" ht="16.5" customHeight="1">
      <c r="A60" s="23"/>
      <c r="B60" s="23"/>
    </row>
    <row r="61" spans="1:2" ht="12.75">
      <c r="A61" s="23"/>
      <c r="B61" s="23"/>
    </row>
    <row r="62" spans="1:2" ht="12.75">
      <c r="A62" s="23"/>
      <c r="B62" s="23"/>
    </row>
    <row r="63" spans="1:2" ht="15" customHeight="1">
      <c r="A63" s="23"/>
      <c r="B63" s="23"/>
    </row>
    <row r="64" spans="1:2" ht="12.75">
      <c r="A64" s="23"/>
      <c r="B64" s="23"/>
    </row>
    <row r="65" spans="1:2" ht="26.25" customHeight="1">
      <c r="A65" s="23"/>
      <c r="B65" s="23"/>
    </row>
    <row r="66" spans="1:2" ht="12.75">
      <c r="A66" s="23"/>
      <c r="B66" s="23"/>
    </row>
    <row r="67" spans="1:2" ht="12.75">
      <c r="A67" s="23"/>
      <c r="B67" s="23"/>
    </row>
    <row r="68" spans="1:2" ht="12.75">
      <c r="A68" s="23"/>
      <c r="B68" s="23"/>
    </row>
    <row r="69" spans="1:2" ht="12.75">
      <c r="A69" s="23"/>
      <c r="B69" s="23"/>
    </row>
    <row r="70" spans="1:2" ht="12.75">
      <c r="A70" s="23"/>
      <c r="B70" s="23"/>
    </row>
    <row r="71" spans="1:2" ht="12.75">
      <c r="A71" s="23"/>
      <c r="B71" s="23"/>
    </row>
    <row r="72" spans="1:2" ht="15.75" customHeight="1">
      <c r="A72" s="23"/>
      <c r="B72" s="23"/>
    </row>
    <row r="73" spans="1:2" ht="12.75">
      <c r="A73" s="23"/>
      <c r="B73" s="23"/>
    </row>
    <row r="74" spans="1:2" ht="12.75">
      <c r="A74" s="23"/>
      <c r="B74" s="23"/>
    </row>
    <row r="75" spans="1:2" ht="12.75">
      <c r="A75" s="23"/>
      <c r="B75" s="23"/>
    </row>
    <row r="76" spans="1:2" ht="12.75" customHeight="1">
      <c r="A76" s="23"/>
      <c r="B76" s="23"/>
    </row>
    <row r="77" spans="1:2" ht="12.75">
      <c r="A77" s="23"/>
      <c r="B77" s="23"/>
    </row>
    <row r="78" spans="1:2" s="21" customFormat="1" ht="11.25">
      <c r="A78" s="23"/>
      <c r="B78" s="23"/>
    </row>
    <row r="79" spans="1:2" s="21" customFormat="1" ht="11.25">
      <c r="A79" s="23"/>
      <c r="B79" s="23"/>
    </row>
    <row r="80" spans="1:2" s="21" customFormat="1" ht="11.25">
      <c r="A80" s="23"/>
      <c r="B80" s="23"/>
    </row>
    <row r="81" spans="1:2" s="21" customFormat="1" ht="11.25">
      <c r="A81" s="23"/>
      <c r="B81" s="23"/>
    </row>
    <row r="82" spans="1:2" s="21" customFormat="1" ht="11.25">
      <c r="A82" s="23"/>
      <c r="B82" s="23"/>
    </row>
    <row r="83" spans="1:2" s="21" customFormat="1" ht="11.25">
      <c r="A83" s="23"/>
      <c r="B83" s="23"/>
    </row>
    <row r="84" spans="1:2" s="21" customFormat="1" ht="11.25">
      <c r="A84" s="23"/>
      <c r="B84" s="23"/>
    </row>
    <row r="85" spans="1:2" s="21" customFormat="1" ht="11.25">
      <c r="A85" s="23"/>
      <c r="B85" s="23"/>
    </row>
    <row r="86" spans="1:2" s="21" customFormat="1" ht="11.25">
      <c r="A86" s="23"/>
      <c r="B86" s="23"/>
    </row>
    <row r="87" spans="1:2" s="21" customFormat="1" ht="11.25">
      <c r="A87" s="23"/>
      <c r="B87" s="23"/>
    </row>
    <row r="88" spans="1:2" s="21" customFormat="1" ht="11.25">
      <c r="A88" s="23"/>
      <c r="B88" s="23"/>
    </row>
    <row r="89" spans="1:2" s="21" customFormat="1" ht="11.25">
      <c r="A89" s="23"/>
      <c r="B89" s="23"/>
    </row>
    <row r="90" spans="1:2" s="21" customFormat="1" ht="11.25">
      <c r="A90" s="23"/>
      <c r="B90" s="23"/>
    </row>
    <row r="91" spans="1:2" s="21" customFormat="1" ht="11.25">
      <c r="A91" s="23"/>
      <c r="B91" s="23"/>
    </row>
    <row r="92" spans="1:2" s="21" customFormat="1" ht="11.25">
      <c r="A92" s="23"/>
      <c r="B92" s="23"/>
    </row>
    <row r="93" spans="1:2" s="21" customFormat="1" ht="11.25">
      <c r="A93" s="23"/>
      <c r="B93" s="23"/>
    </row>
    <row r="94" spans="1:2" s="21" customFormat="1" ht="11.25">
      <c r="A94" s="23"/>
      <c r="B94" s="23"/>
    </row>
    <row r="95" spans="1:2" s="21" customFormat="1" ht="11.25">
      <c r="A95" s="23"/>
      <c r="B95" s="23"/>
    </row>
    <row r="96" spans="1:2" s="21" customFormat="1" ht="11.25">
      <c r="A96" s="23"/>
      <c r="B96" s="23"/>
    </row>
    <row r="97" spans="1:2" s="21" customFormat="1" ht="11.25">
      <c r="A97" s="23"/>
      <c r="B97" s="23"/>
    </row>
    <row r="98" spans="1:2" s="21" customFormat="1" ht="11.25">
      <c r="A98" s="23"/>
      <c r="B98" s="23"/>
    </row>
    <row r="99" spans="1:2" s="21" customFormat="1" ht="11.25">
      <c r="A99" s="23"/>
      <c r="B99" s="23"/>
    </row>
    <row r="100" spans="1:2" s="21" customFormat="1" ht="11.25">
      <c r="A100" s="23"/>
      <c r="B100" s="23"/>
    </row>
    <row r="101" spans="1:2" s="21" customFormat="1" ht="11.25">
      <c r="A101" s="23"/>
      <c r="B101" s="23"/>
    </row>
    <row r="102" spans="1:2" s="21" customFormat="1" ht="11.25">
      <c r="A102" s="23"/>
      <c r="B102" s="23"/>
    </row>
    <row r="103" spans="1:2" s="21" customFormat="1" ht="11.25">
      <c r="A103" s="23"/>
      <c r="B103" s="23"/>
    </row>
    <row r="104" spans="1:2" s="21" customFormat="1" ht="11.25">
      <c r="A104" s="23"/>
      <c r="B104" s="23"/>
    </row>
    <row r="105" spans="1:2" s="21" customFormat="1" ht="11.25">
      <c r="A105" s="23"/>
      <c r="B105" s="23"/>
    </row>
    <row r="106" spans="1:2" s="21" customFormat="1" ht="11.25">
      <c r="A106" s="23"/>
      <c r="B106" s="23"/>
    </row>
    <row r="107" spans="1:2" s="21" customFormat="1" ht="11.25">
      <c r="A107" s="23"/>
      <c r="B107" s="23"/>
    </row>
    <row r="108" spans="1:2" s="21" customFormat="1" ht="11.25">
      <c r="A108" s="23"/>
      <c r="B108" s="23"/>
    </row>
    <row r="109" spans="1:2" s="21" customFormat="1" ht="11.25">
      <c r="A109" s="23"/>
      <c r="B109" s="23"/>
    </row>
    <row r="110" spans="1:2" ht="12.75">
      <c r="A110" s="23"/>
      <c r="B110" s="23"/>
    </row>
    <row r="111" spans="1:2" ht="12.75">
      <c r="A111" s="23"/>
      <c r="B111" s="23"/>
    </row>
    <row r="112" spans="1:2" ht="12.75">
      <c r="A112" s="23"/>
      <c r="B112" s="23"/>
    </row>
    <row r="113" spans="1:2" ht="12.75">
      <c r="A113" s="23"/>
      <c r="B113" s="23"/>
    </row>
    <row r="114" spans="1:2" ht="12.75">
      <c r="A114" s="23"/>
      <c r="B114" s="23"/>
    </row>
    <row r="115" spans="1:2" ht="12.75">
      <c r="A115" s="23"/>
      <c r="B115" s="23"/>
    </row>
    <row r="116" spans="1:2" ht="12.75">
      <c r="A116" s="23"/>
      <c r="B116" s="23"/>
    </row>
    <row r="117" spans="1:2" ht="12.75">
      <c r="A117" s="23"/>
      <c r="B117" s="23"/>
    </row>
    <row r="118" spans="1:2" ht="12.75">
      <c r="A118" s="23"/>
      <c r="B118" s="23"/>
    </row>
    <row r="119" spans="1:2" ht="12.75">
      <c r="A119" s="23"/>
      <c r="B119" s="23"/>
    </row>
    <row r="120" spans="1:2" ht="12.75">
      <c r="A120" s="23"/>
      <c r="B120" s="23"/>
    </row>
    <row r="121" spans="1:2" ht="12.75">
      <c r="A121" s="23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ht="12.75">
      <c r="A131" s="4"/>
      <c r="B131" s="3"/>
    </row>
    <row r="132" spans="1:2" ht="12.75">
      <c r="A132" s="4"/>
      <c r="B132" s="3"/>
    </row>
    <row r="133" spans="1:2" s="21" customFormat="1" ht="12.75">
      <c r="A133" s="4"/>
      <c r="B133" s="3"/>
    </row>
    <row r="134" spans="1:2" s="21" customFormat="1" ht="12.75">
      <c r="A134" s="4"/>
      <c r="B134" s="3"/>
    </row>
    <row r="135" spans="1:2" s="21" customFormat="1" ht="12.75">
      <c r="A135" s="4"/>
      <c r="B135" s="3"/>
    </row>
    <row r="136" spans="1:2" s="21" customFormat="1" ht="12.75">
      <c r="A136" s="4"/>
      <c r="B136" s="3"/>
    </row>
    <row r="137" spans="1:2" s="21" customFormat="1" ht="12.75">
      <c r="A137" s="4"/>
      <c r="B137" s="3"/>
    </row>
    <row r="138" spans="1:2" s="21" customFormat="1" ht="12.75">
      <c r="A138" s="4"/>
      <c r="B138" s="3"/>
    </row>
    <row r="139" spans="1:2" s="21" customFormat="1" ht="12.75">
      <c r="A139" s="4"/>
      <c r="B139" s="3"/>
    </row>
    <row r="140" spans="1:2" s="21" customFormat="1" ht="12.75">
      <c r="A140" s="4"/>
      <c r="B140" s="3"/>
    </row>
    <row r="141" spans="1:2" s="21" customFormat="1" ht="12.75">
      <c r="A141" s="4"/>
      <c r="B141" s="3"/>
    </row>
    <row r="142" spans="1:2" s="21" customFormat="1" ht="12.75">
      <c r="A142" s="4"/>
      <c r="B142" s="3"/>
    </row>
    <row r="143" spans="1:2" s="21" customFormat="1" ht="12.75">
      <c r="A143" s="4"/>
      <c r="B143" s="3"/>
    </row>
    <row r="144" spans="1:2" s="21" customFormat="1" ht="12.75">
      <c r="A144" s="4"/>
      <c r="B144" s="3"/>
    </row>
    <row r="145" spans="1:2" s="21" customFormat="1" ht="12.75">
      <c r="A145" s="4"/>
      <c r="B145" s="3"/>
    </row>
    <row r="146" spans="1:2" s="21" customFormat="1" ht="12.75">
      <c r="A146" s="4"/>
      <c r="B146" s="3"/>
    </row>
    <row r="147" spans="1:2" s="21" customFormat="1" ht="12.75">
      <c r="A147" s="4"/>
      <c r="B147"/>
    </row>
  </sheetData>
  <sheetProtection/>
  <mergeCells count="5">
    <mergeCell ref="C2:C3"/>
    <mergeCell ref="A2:A3"/>
    <mergeCell ref="B2:B3"/>
    <mergeCell ref="D2:D3"/>
    <mergeCell ref="A1:D1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10" r:id="rId1"/>
  <headerFooter alignWithMargins="0">
    <oddFooter>&amp;R&amp;P</oddFooter>
  </headerFooter>
  <rowBreaks count="1" manualBreakCount="1">
    <brk id="2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92"/>
  <sheetViews>
    <sheetView tabSelected="1" zoomScale="98" zoomScaleNormal="98" zoomScaleSheetLayoutView="98" zoomScalePageLayoutView="0" workbookViewId="0" topLeftCell="A1">
      <pane ySplit="4" topLeftCell="A510" activePane="bottomLeft" state="frozen"/>
      <selection pane="topLeft" activeCell="A1" sqref="A1"/>
      <selection pane="bottomLeft" activeCell="N518" sqref="N518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0.8515625" style="0" customWidth="1"/>
    <col min="5" max="6" width="16.28125" style="0" customWidth="1"/>
    <col min="7" max="7" width="10.8515625" style="0" customWidth="1"/>
    <col min="8" max="8" width="10.140625" style="0" customWidth="1"/>
    <col min="9" max="9" width="3.421875" style="0" customWidth="1"/>
    <col min="10" max="10" width="18.7109375" style="0" hidden="1" customWidth="1"/>
    <col min="11" max="11" width="17.57421875" style="0" hidden="1" customWidth="1"/>
    <col min="12" max="12" width="10.140625" style="0" bestFit="1" customWidth="1"/>
    <col min="13" max="13" width="16.00390625" style="0" customWidth="1"/>
    <col min="14" max="14" width="10.7109375" style="0" bestFit="1" customWidth="1"/>
  </cols>
  <sheetData>
    <row r="1" spans="1:9" ht="36" customHeight="1" thickBot="1" thickTop="1">
      <c r="A1" s="539" t="s">
        <v>606</v>
      </c>
      <c r="B1" s="540"/>
      <c r="C1" s="540"/>
      <c r="D1" s="540"/>
      <c r="E1" s="540"/>
      <c r="F1" s="540"/>
      <c r="G1" s="540"/>
      <c r="H1" s="541"/>
      <c r="I1" s="6"/>
    </row>
    <row r="2" spans="1:11" ht="15" customHeight="1" thickTop="1">
      <c r="A2" s="494" t="s">
        <v>193</v>
      </c>
      <c r="B2" s="496" t="s">
        <v>3</v>
      </c>
      <c r="C2" s="542"/>
      <c r="D2" s="496" t="s">
        <v>194</v>
      </c>
      <c r="E2" s="502" t="s">
        <v>607</v>
      </c>
      <c r="F2" s="502" t="s">
        <v>608</v>
      </c>
      <c r="G2" s="545" t="s">
        <v>107</v>
      </c>
      <c r="H2" s="543" t="s">
        <v>442</v>
      </c>
      <c r="I2" s="6"/>
      <c r="J2" s="561" t="s">
        <v>568</v>
      </c>
      <c r="K2" s="563" t="s">
        <v>569</v>
      </c>
    </row>
    <row r="3" spans="1:11" ht="33.75" customHeight="1">
      <c r="A3" s="495"/>
      <c r="B3" s="124" t="s">
        <v>401</v>
      </c>
      <c r="C3" s="403" t="s">
        <v>21</v>
      </c>
      <c r="D3" s="497"/>
      <c r="E3" s="503"/>
      <c r="F3" s="503"/>
      <c r="G3" s="546"/>
      <c r="H3" s="544"/>
      <c r="I3" s="39"/>
      <c r="J3" s="562"/>
      <c r="K3" s="564"/>
    </row>
    <row r="4" spans="1:11" ht="9.75" customHeight="1">
      <c r="A4" s="125">
        <v>1</v>
      </c>
      <c r="B4" s="100">
        <v>2</v>
      </c>
      <c r="C4" s="100">
        <v>3</v>
      </c>
      <c r="D4" s="406">
        <v>4</v>
      </c>
      <c r="E4" s="126">
        <v>5</v>
      </c>
      <c r="F4" s="126">
        <v>6</v>
      </c>
      <c r="G4" s="126" t="s">
        <v>566</v>
      </c>
      <c r="H4" s="101">
        <v>8</v>
      </c>
      <c r="I4" s="6"/>
      <c r="J4" s="407"/>
      <c r="K4" s="10"/>
    </row>
    <row r="5" spans="1:11" ht="9.75" customHeight="1">
      <c r="A5" s="522"/>
      <c r="B5" s="523"/>
      <c r="C5" s="526" t="s">
        <v>662</v>
      </c>
      <c r="D5" s="526"/>
      <c r="E5" s="128"/>
      <c r="F5" s="128"/>
      <c r="G5" s="128"/>
      <c r="H5" s="129"/>
      <c r="I5" s="6"/>
      <c r="J5" s="407"/>
      <c r="K5" s="10"/>
    </row>
    <row r="6" spans="1:11" ht="9.75" customHeight="1">
      <c r="A6" s="522"/>
      <c r="B6" s="523"/>
      <c r="C6" s="526"/>
      <c r="D6" s="526"/>
      <c r="E6" s="130"/>
      <c r="F6" s="130"/>
      <c r="G6" s="130"/>
      <c r="H6" s="131"/>
      <c r="I6" s="6"/>
      <c r="J6" s="407"/>
      <c r="K6" s="10"/>
    </row>
    <row r="7" spans="1:11" ht="24" customHeight="1">
      <c r="A7" s="522"/>
      <c r="B7" s="523"/>
      <c r="C7" s="526"/>
      <c r="D7" s="526"/>
      <c r="E7" s="132"/>
      <c r="F7" s="132"/>
      <c r="G7" s="132"/>
      <c r="H7" s="133"/>
      <c r="I7" s="6"/>
      <c r="J7" s="408"/>
      <c r="K7" s="450"/>
    </row>
    <row r="8" spans="1:11" ht="15" customHeight="1">
      <c r="A8" s="120"/>
      <c r="B8" s="47">
        <v>411000</v>
      </c>
      <c r="C8" s="60"/>
      <c r="D8" s="134" t="s">
        <v>116</v>
      </c>
      <c r="E8" s="135">
        <f>SUM(E9)</f>
        <v>2000</v>
      </c>
      <c r="F8" s="136">
        <f>SUM(F9)</f>
        <v>2000</v>
      </c>
      <c r="G8" s="136">
        <f>IF(E8&gt;0,F8/E8*100,0)</f>
        <v>100</v>
      </c>
      <c r="H8" s="137">
        <f aca="true" t="shared" si="0" ref="H8:H21">F8/$F$587*100</f>
        <v>0.006563833278634723</v>
      </c>
      <c r="I8" s="6"/>
      <c r="J8" s="135">
        <f>SUM(J9)</f>
        <v>3500</v>
      </c>
      <c r="K8" s="174">
        <f>SUM(K9)</f>
        <v>0</v>
      </c>
    </row>
    <row r="9" spans="1:11" ht="13.5" customHeight="1">
      <c r="A9" s="120" t="s">
        <v>22</v>
      </c>
      <c r="B9" s="93"/>
      <c r="C9" s="138">
        <v>411200</v>
      </c>
      <c r="D9" s="69" t="s">
        <v>316</v>
      </c>
      <c r="E9" s="305">
        <v>2000</v>
      </c>
      <c r="F9" s="305">
        <v>2000</v>
      </c>
      <c r="G9" s="139">
        <f aca="true" t="shared" si="1" ref="G9:G21">IF(E9&gt;0,F9/E9*100,0)</f>
        <v>100</v>
      </c>
      <c r="H9" s="206">
        <f t="shared" si="0"/>
        <v>0.006563833278634723</v>
      </c>
      <c r="I9" s="6"/>
      <c r="J9" s="305">
        <v>3500</v>
      </c>
      <c r="K9" s="305"/>
    </row>
    <row r="10" spans="1:11" ht="14.25" customHeight="1">
      <c r="A10" s="120"/>
      <c r="B10" s="47">
        <v>412000</v>
      </c>
      <c r="C10" s="60"/>
      <c r="D10" s="134" t="s">
        <v>117</v>
      </c>
      <c r="E10" s="140">
        <f>SUM(E11:E17)</f>
        <v>309500</v>
      </c>
      <c r="F10" s="136">
        <f>SUM(F11:F17)</f>
        <v>465000</v>
      </c>
      <c r="G10" s="136">
        <f t="shared" si="1"/>
        <v>150.24232633279485</v>
      </c>
      <c r="H10" s="137">
        <f t="shared" si="0"/>
        <v>1.526091237282573</v>
      </c>
      <c r="I10" s="6"/>
      <c r="J10" s="140">
        <f>SUM(J11:J17)</f>
        <v>288500</v>
      </c>
      <c r="K10" s="174">
        <f>SUM(K11:K17)</f>
        <v>0</v>
      </c>
    </row>
    <row r="11" spans="1:11" ht="12.75" customHeight="1">
      <c r="A11" s="120" t="s">
        <v>22</v>
      </c>
      <c r="B11" s="42"/>
      <c r="C11" s="60">
        <v>412900</v>
      </c>
      <c r="D11" s="82" t="s">
        <v>0</v>
      </c>
      <c r="E11" s="187">
        <v>10000</v>
      </c>
      <c r="F11" s="187">
        <v>10000</v>
      </c>
      <c r="G11" s="139">
        <f t="shared" si="1"/>
        <v>100</v>
      </c>
      <c r="H11" s="206">
        <f t="shared" si="0"/>
        <v>0.03281916639317361</v>
      </c>
      <c r="I11" s="9"/>
      <c r="J11" s="187">
        <v>11000</v>
      </c>
      <c r="K11" s="187"/>
    </row>
    <row r="12" spans="1:11" ht="12.75" customHeight="1">
      <c r="A12" s="120" t="s">
        <v>22</v>
      </c>
      <c r="B12" s="42"/>
      <c r="C12" s="60">
        <v>412900</v>
      </c>
      <c r="D12" s="82" t="s">
        <v>609</v>
      </c>
      <c r="E12" s="145">
        <v>8500</v>
      </c>
      <c r="F12" s="145">
        <v>8000</v>
      </c>
      <c r="G12" s="139">
        <f t="shared" si="1"/>
        <v>94.11764705882352</v>
      </c>
      <c r="H12" s="206">
        <f t="shared" si="0"/>
        <v>0.02625533311453889</v>
      </c>
      <c r="I12" s="9"/>
      <c r="J12" s="145">
        <v>8500</v>
      </c>
      <c r="K12" s="145"/>
    </row>
    <row r="13" spans="1:11" ht="12.75" customHeight="1" hidden="1">
      <c r="A13" s="120" t="s">
        <v>22</v>
      </c>
      <c r="B13" s="42"/>
      <c r="C13" s="60">
        <v>412900</v>
      </c>
      <c r="D13" s="82" t="s">
        <v>610</v>
      </c>
      <c r="E13" s="145">
        <v>0</v>
      </c>
      <c r="F13" s="145"/>
      <c r="G13" s="139">
        <f t="shared" si="1"/>
        <v>0</v>
      </c>
      <c r="H13" s="206">
        <f t="shared" si="0"/>
        <v>0</v>
      </c>
      <c r="I13" s="9"/>
      <c r="J13" s="145">
        <v>0</v>
      </c>
      <c r="K13" s="145"/>
    </row>
    <row r="14" spans="1:11" ht="12.75" customHeight="1">
      <c r="A14" s="122" t="s">
        <v>22</v>
      </c>
      <c r="B14" s="42"/>
      <c r="C14" s="90">
        <v>412900</v>
      </c>
      <c r="D14" s="87" t="s">
        <v>91</v>
      </c>
      <c r="E14" s="145">
        <v>270000</v>
      </c>
      <c r="F14" s="145">
        <v>295000</v>
      </c>
      <c r="G14" s="139">
        <f t="shared" si="1"/>
        <v>109.25925925925925</v>
      </c>
      <c r="H14" s="206">
        <f t="shared" si="0"/>
        <v>0.9681654085986215</v>
      </c>
      <c r="I14" s="9"/>
      <c r="J14" s="145">
        <v>244000</v>
      </c>
      <c r="K14" s="145"/>
    </row>
    <row r="15" spans="1:11" ht="12.75" customHeight="1">
      <c r="A15" s="122" t="s">
        <v>22</v>
      </c>
      <c r="B15" s="42"/>
      <c r="C15" s="90">
        <v>412900</v>
      </c>
      <c r="D15" s="87" t="s">
        <v>174</v>
      </c>
      <c r="E15" s="145">
        <v>4000</v>
      </c>
      <c r="F15" s="145">
        <v>4000</v>
      </c>
      <c r="G15" s="139">
        <f t="shared" si="1"/>
        <v>100</v>
      </c>
      <c r="H15" s="206">
        <f t="shared" si="0"/>
        <v>0.013127666557269446</v>
      </c>
      <c r="I15" s="9"/>
      <c r="J15" s="145">
        <v>4000</v>
      </c>
      <c r="K15" s="145"/>
    </row>
    <row r="16" spans="1:11" ht="12.75" customHeight="1">
      <c r="A16" s="122" t="s">
        <v>24</v>
      </c>
      <c r="B16" s="42"/>
      <c r="C16" s="90">
        <v>412900</v>
      </c>
      <c r="D16" s="87" t="s">
        <v>613</v>
      </c>
      <c r="E16" s="143">
        <v>15000</v>
      </c>
      <c r="F16" s="143">
        <v>145000</v>
      </c>
      <c r="G16" s="139">
        <f t="shared" si="1"/>
        <v>966.6666666666666</v>
      </c>
      <c r="H16" s="206">
        <f t="shared" si="0"/>
        <v>0.47587791270101737</v>
      </c>
      <c r="I16" s="9"/>
      <c r="J16" s="143">
        <v>19000</v>
      </c>
      <c r="K16" s="143"/>
    </row>
    <row r="17" spans="1:11" ht="12.75" customHeight="1">
      <c r="A17" s="122" t="s">
        <v>22</v>
      </c>
      <c r="B17" s="42"/>
      <c r="C17" s="90">
        <v>412900</v>
      </c>
      <c r="D17" s="87" t="s">
        <v>126</v>
      </c>
      <c r="E17" s="139">
        <v>2000</v>
      </c>
      <c r="F17" s="143">
        <v>3000</v>
      </c>
      <c r="G17" s="139">
        <f t="shared" si="1"/>
        <v>150</v>
      </c>
      <c r="H17" s="206">
        <f t="shared" si="0"/>
        <v>0.009845749917952083</v>
      </c>
      <c r="I17" s="9"/>
      <c r="J17" s="139">
        <v>2000</v>
      </c>
      <c r="K17" s="139"/>
    </row>
    <row r="18" spans="1:11" ht="14.25" customHeight="1">
      <c r="A18" s="120"/>
      <c r="B18" s="47">
        <v>415000</v>
      </c>
      <c r="C18" s="60"/>
      <c r="D18" s="146" t="s">
        <v>131</v>
      </c>
      <c r="E18" s="140">
        <f>SUM(E19:E19)</f>
        <v>34000</v>
      </c>
      <c r="F18" s="136">
        <f>SUM(F19:F20)</f>
        <v>69125</v>
      </c>
      <c r="G18" s="136">
        <f t="shared" si="1"/>
        <v>203.30882352941177</v>
      </c>
      <c r="H18" s="137">
        <f t="shared" si="0"/>
        <v>0.2268624876928126</v>
      </c>
      <c r="I18" s="9"/>
      <c r="J18" s="140">
        <f>SUM(J19:J19)</f>
        <v>28000</v>
      </c>
      <c r="K18" s="174">
        <f>SUM(K19:K19)</f>
        <v>0</v>
      </c>
    </row>
    <row r="19" spans="1:11" ht="12" customHeight="1">
      <c r="A19" s="120" t="s">
        <v>24</v>
      </c>
      <c r="B19" s="42"/>
      <c r="C19" s="60">
        <v>415200</v>
      </c>
      <c r="D19" s="82" t="s">
        <v>198</v>
      </c>
      <c r="E19" s="145">
        <v>34000</v>
      </c>
      <c r="F19" s="145">
        <v>55125</v>
      </c>
      <c r="G19" s="139">
        <f t="shared" si="1"/>
        <v>162.13235294117646</v>
      </c>
      <c r="H19" s="206">
        <f t="shared" si="0"/>
        <v>0.18091565474236954</v>
      </c>
      <c r="I19" s="9"/>
      <c r="J19" s="145">
        <v>28000</v>
      </c>
      <c r="K19" s="145"/>
    </row>
    <row r="20" spans="1:11" ht="25.5">
      <c r="A20" s="120" t="s">
        <v>24</v>
      </c>
      <c r="B20" s="42"/>
      <c r="C20" s="60">
        <v>415200</v>
      </c>
      <c r="D20" s="82" t="s">
        <v>639</v>
      </c>
      <c r="E20" s="465">
        <v>0</v>
      </c>
      <c r="F20" s="465">
        <v>14000</v>
      </c>
      <c r="G20" s="139">
        <f>IF(E20&gt;0,F20/E20*100,0)</f>
        <v>0</v>
      </c>
      <c r="H20" s="206">
        <f t="shared" si="0"/>
        <v>0.04594683295044306</v>
      </c>
      <c r="I20" s="9"/>
      <c r="J20" s="465"/>
      <c r="K20" s="465"/>
    </row>
    <row r="21" spans="1:11" ht="27" customHeight="1">
      <c r="A21" s="522"/>
      <c r="B21" s="523"/>
      <c r="C21" s="524" t="s">
        <v>77</v>
      </c>
      <c r="D21" s="524"/>
      <c r="E21" s="147">
        <f>E8+E10+E18</f>
        <v>345500</v>
      </c>
      <c r="F21" s="158">
        <f>F8+F10+F18</f>
        <v>536125</v>
      </c>
      <c r="G21" s="359">
        <f t="shared" si="1"/>
        <v>155.17366136034732</v>
      </c>
      <c r="H21" s="387">
        <f t="shared" si="0"/>
        <v>1.7595175582540206</v>
      </c>
      <c r="I21" s="9"/>
      <c r="J21" s="147">
        <f>J8+J10+J18</f>
        <v>320000</v>
      </c>
      <c r="K21" s="451">
        <f>K8+K10+K18</f>
        <v>0</v>
      </c>
    </row>
    <row r="22" spans="1:11" ht="9.75" customHeight="1">
      <c r="A22" s="522"/>
      <c r="B22" s="523"/>
      <c r="C22" s="526" t="s">
        <v>641</v>
      </c>
      <c r="D22" s="526"/>
      <c r="E22" s="149"/>
      <c r="F22" s="149"/>
      <c r="G22" s="149"/>
      <c r="H22" s="150"/>
      <c r="I22" s="9"/>
      <c r="J22" s="149"/>
      <c r="K22" s="149"/>
    </row>
    <row r="23" spans="1:11" ht="9.75" customHeight="1">
      <c r="A23" s="522"/>
      <c r="B23" s="523"/>
      <c r="C23" s="526"/>
      <c r="D23" s="526"/>
      <c r="E23" s="151"/>
      <c r="F23" s="151"/>
      <c r="G23" s="151"/>
      <c r="H23" s="152"/>
      <c r="I23" s="9"/>
      <c r="J23" s="151"/>
      <c r="K23" s="151"/>
    </row>
    <row r="24" spans="1:11" ht="25.5" customHeight="1">
      <c r="A24" s="522"/>
      <c r="B24" s="523"/>
      <c r="C24" s="526"/>
      <c r="D24" s="526"/>
      <c r="E24" s="153"/>
      <c r="F24" s="153"/>
      <c r="G24" s="153"/>
      <c r="H24" s="154"/>
      <c r="I24" s="9"/>
      <c r="J24" s="153"/>
      <c r="K24" s="153"/>
    </row>
    <row r="25" spans="1:11" ht="15" customHeight="1">
      <c r="A25" s="120"/>
      <c r="B25" s="47">
        <v>411000</v>
      </c>
      <c r="C25" s="60"/>
      <c r="D25" s="134" t="s">
        <v>116</v>
      </c>
      <c r="E25" s="135">
        <f>SUM(E26)</f>
        <v>2000</v>
      </c>
      <c r="F25" s="135">
        <f>SUM(F26)</f>
        <v>2000</v>
      </c>
      <c r="G25" s="135">
        <f aca="true" t="shared" si="2" ref="G25:G40">IF(E25&gt;0,F25/E25*100,0)</f>
        <v>100</v>
      </c>
      <c r="H25" s="137">
        <f aca="true" t="shared" si="3" ref="H25:H40">F25/$F$587*100</f>
        <v>0.006563833278634723</v>
      </c>
      <c r="I25" s="9"/>
      <c r="J25" s="140">
        <f>SUM(J26)</f>
        <v>2000</v>
      </c>
      <c r="K25" s="174">
        <f>SUM(K26)</f>
        <v>0</v>
      </c>
    </row>
    <row r="26" spans="1:11" ht="12.75">
      <c r="A26" s="120" t="s">
        <v>22</v>
      </c>
      <c r="B26" s="93"/>
      <c r="C26" s="138">
        <v>411200</v>
      </c>
      <c r="D26" s="69" t="s">
        <v>316</v>
      </c>
      <c r="E26" s="155">
        <v>2000</v>
      </c>
      <c r="F26" s="155">
        <v>2000</v>
      </c>
      <c r="G26" s="156">
        <f t="shared" si="2"/>
        <v>100</v>
      </c>
      <c r="H26" s="206">
        <f t="shared" si="3"/>
        <v>0.006563833278634723</v>
      </c>
      <c r="I26" s="9"/>
      <c r="J26" s="155">
        <v>2000</v>
      </c>
      <c r="K26" s="452"/>
    </row>
    <row r="27" spans="1:11" ht="12" customHeight="1">
      <c r="A27" s="120"/>
      <c r="B27" s="47">
        <v>412000</v>
      </c>
      <c r="C27" s="60"/>
      <c r="D27" s="134" t="s">
        <v>117</v>
      </c>
      <c r="E27" s="140">
        <f>SUM(E28:E36)</f>
        <v>86000</v>
      </c>
      <c r="F27" s="135">
        <f>SUM(F28:F37)</f>
        <v>113000</v>
      </c>
      <c r="G27" s="135">
        <f t="shared" si="2"/>
        <v>131.3953488372093</v>
      </c>
      <c r="H27" s="137">
        <f t="shared" si="3"/>
        <v>0.37085658024286183</v>
      </c>
      <c r="I27" s="9"/>
      <c r="J27" s="140">
        <f>SUM(J28:J36)</f>
        <v>91000</v>
      </c>
      <c r="K27" s="174">
        <f>SUM(K28:K36)</f>
        <v>0</v>
      </c>
    </row>
    <row r="28" spans="1:11" ht="12.75" customHeight="1">
      <c r="A28" s="120" t="s">
        <v>22</v>
      </c>
      <c r="B28" s="123"/>
      <c r="C28" s="60">
        <v>412900</v>
      </c>
      <c r="D28" s="82" t="s">
        <v>0</v>
      </c>
      <c r="E28" s="145">
        <v>17000</v>
      </c>
      <c r="F28" s="145">
        <v>17000</v>
      </c>
      <c r="G28" s="156">
        <f t="shared" si="2"/>
        <v>100</v>
      </c>
      <c r="H28" s="206">
        <f t="shared" si="3"/>
        <v>0.05579258286839515</v>
      </c>
      <c r="I28" s="9"/>
      <c r="J28" s="145">
        <v>17000</v>
      </c>
      <c r="K28" s="145"/>
    </row>
    <row r="29" spans="1:11" ht="12.75" customHeight="1" hidden="1">
      <c r="A29" s="120" t="s">
        <v>22</v>
      </c>
      <c r="B29" s="123"/>
      <c r="C29" s="60">
        <v>412900</v>
      </c>
      <c r="D29" s="82" t="s">
        <v>423</v>
      </c>
      <c r="E29" s="145"/>
      <c r="F29" s="145"/>
      <c r="G29" s="156">
        <f t="shared" si="2"/>
        <v>0</v>
      </c>
      <c r="H29" s="206">
        <f t="shared" si="3"/>
        <v>0</v>
      </c>
      <c r="I29" s="9"/>
      <c r="J29" s="145"/>
      <c r="K29" s="145"/>
    </row>
    <row r="30" spans="1:11" ht="12.75" customHeight="1">
      <c r="A30" s="120" t="s">
        <v>22</v>
      </c>
      <c r="B30" s="123"/>
      <c r="C30" s="90">
        <v>412900</v>
      </c>
      <c r="D30" s="87" t="s">
        <v>92</v>
      </c>
      <c r="E30" s="145">
        <v>6200</v>
      </c>
      <c r="F30" s="145">
        <v>6200</v>
      </c>
      <c r="G30" s="156">
        <f t="shared" si="2"/>
        <v>100</v>
      </c>
      <c r="H30" s="206">
        <f t="shared" si="3"/>
        <v>0.020347883163767642</v>
      </c>
      <c r="J30" s="145">
        <v>6200</v>
      </c>
      <c r="K30" s="145"/>
    </row>
    <row r="31" spans="1:11" ht="12.75" customHeight="1" hidden="1">
      <c r="A31" s="120" t="s">
        <v>22</v>
      </c>
      <c r="B31" s="47"/>
      <c r="C31" s="71">
        <v>412900</v>
      </c>
      <c r="D31" s="157" t="s">
        <v>179</v>
      </c>
      <c r="E31" s="145"/>
      <c r="F31" s="145"/>
      <c r="G31" s="156">
        <f t="shared" si="2"/>
        <v>0</v>
      </c>
      <c r="H31" s="206">
        <f t="shared" si="3"/>
        <v>0</v>
      </c>
      <c r="I31" s="6"/>
      <c r="J31" s="145"/>
      <c r="K31" s="145"/>
    </row>
    <row r="32" spans="1:11" ht="12" customHeight="1">
      <c r="A32" s="122" t="s">
        <v>22</v>
      </c>
      <c r="B32" s="123"/>
      <c r="C32" s="71">
        <v>412900</v>
      </c>
      <c r="D32" s="87" t="s">
        <v>223</v>
      </c>
      <c r="E32" s="145">
        <v>10000</v>
      </c>
      <c r="F32" s="145">
        <v>15000</v>
      </c>
      <c r="G32" s="156">
        <f t="shared" si="2"/>
        <v>150</v>
      </c>
      <c r="H32" s="206">
        <f t="shared" si="3"/>
        <v>0.04922874958976042</v>
      </c>
      <c r="I32" s="6"/>
      <c r="J32" s="145">
        <v>10000</v>
      </c>
      <c r="K32" s="145"/>
    </row>
    <row r="33" spans="1:11" ht="1.5" customHeight="1" hidden="1">
      <c r="A33" s="122" t="s">
        <v>22</v>
      </c>
      <c r="B33" s="123"/>
      <c r="C33" s="71">
        <v>412900</v>
      </c>
      <c r="D33" s="87" t="s">
        <v>126</v>
      </c>
      <c r="E33" s="145"/>
      <c r="F33" s="145"/>
      <c r="G33" s="156">
        <f t="shared" si="2"/>
        <v>0</v>
      </c>
      <c r="H33" s="206">
        <f t="shared" si="3"/>
        <v>0</v>
      </c>
      <c r="I33" s="6"/>
      <c r="J33" s="145"/>
      <c r="K33" s="145"/>
    </row>
    <row r="34" spans="1:11" ht="12.75">
      <c r="A34" s="122" t="s">
        <v>22</v>
      </c>
      <c r="B34" s="123"/>
      <c r="C34" s="71">
        <v>412900</v>
      </c>
      <c r="D34" s="87" t="s">
        <v>614</v>
      </c>
      <c r="E34" s="145">
        <v>2500</v>
      </c>
      <c r="F34" s="145">
        <v>2500</v>
      </c>
      <c r="G34" s="156">
        <f t="shared" si="2"/>
        <v>100</v>
      </c>
      <c r="H34" s="206">
        <f t="shared" si="3"/>
        <v>0.008204791598293402</v>
      </c>
      <c r="I34" s="6"/>
      <c r="J34" s="145">
        <v>2500</v>
      </c>
      <c r="K34" s="145"/>
    </row>
    <row r="35" spans="1:11" ht="15" customHeight="1">
      <c r="A35" s="122" t="s">
        <v>22</v>
      </c>
      <c r="B35" s="123"/>
      <c r="C35" s="71">
        <v>412900</v>
      </c>
      <c r="D35" s="87" t="s">
        <v>364</v>
      </c>
      <c r="E35" s="145">
        <v>50000</v>
      </c>
      <c r="F35" s="145">
        <v>70000</v>
      </c>
      <c r="G35" s="156">
        <f t="shared" si="2"/>
        <v>140</v>
      </c>
      <c r="H35" s="206">
        <f t="shared" si="3"/>
        <v>0.2297341647522153</v>
      </c>
      <c r="I35" s="6"/>
      <c r="J35" s="145">
        <v>55000</v>
      </c>
      <c r="K35" s="145"/>
    </row>
    <row r="36" spans="1:11" ht="13.5" customHeight="1">
      <c r="A36" s="122" t="s">
        <v>22</v>
      </c>
      <c r="B36" s="123"/>
      <c r="C36" s="71">
        <v>412900</v>
      </c>
      <c r="D36" s="87" t="s">
        <v>444</v>
      </c>
      <c r="E36" s="145">
        <v>300</v>
      </c>
      <c r="F36" s="145">
        <v>300</v>
      </c>
      <c r="G36" s="156">
        <f t="shared" si="2"/>
        <v>100</v>
      </c>
      <c r="H36" s="206">
        <f t="shared" si="3"/>
        <v>0.0009845749917952085</v>
      </c>
      <c r="I36" s="6"/>
      <c r="J36" s="145">
        <v>300</v>
      </c>
      <c r="K36" s="145"/>
    </row>
    <row r="37" spans="1:11" ht="13.5" customHeight="1">
      <c r="A37" s="122" t="s">
        <v>22</v>
      </c>
      <c r="B37" s="123"/>
      <c r="C37" s="71">
        <v>412900</v>
      </c>
      <c r="D37" s="87" t="s">
        <v>640</v>
      </c>
      <c r="E37" s="145">
        <v>0</v>
      </c>
      <c r="F37" s="145">
        <v>2000</v>
      </c>
      <c r="G37" s="156">
        <f t="shared" si="2"/>
        <v>0</v>
      </c>
      <c r="H37" s="206">
        <f t="shared" si="3"/>
        <v>0.006563833278634723</v>
      </c>
      <c r="I37" s="6"/>
      <c r="J37" s="145"/>
      <c r="K37" s="145"/>
    </row>
    <row r="38" spans="1:11" ht="15" customHeight="1" hidden="1">
      <c r="A38" s="122"/>
      <c r="B38" s="47">
        <v>416000</v>
      </c>
      <c r="C38" s="60"/>
      <c r="D38" s="134" t="s">
        <v>1</v>
      </c>
      <c r="E38" s="140">
        <f>SUM(E39)</f>
        <v>0</v>
      </c>
      <c r="F38" s="135">
        <f>SUM(F39)</f>
        <v>0</v>
      </c>
      <c r="G38" s="135">
        <f t="shared" si="2"/>
        <v>0</v>
      </c>
      <c r="H38" s="137">
        <f t="shared" si="3"/>
        <v>0</v>
      </c>
      <c r="I38" s="6"/>
      <c r="J38" s="140">
        <f>SUM(J39)</f>
        <v>0</v>
      </c>
      <c r="K38" s="174">
        <f>SUM(K39)</f>
        <v>0</v>
      </c>
    </row>
    <row r="39" spans="1:11" ht="15" customHeight="1" hidden="1">
      <c r="A39" s="122" t="s">
        <v>27</v>
      </c>
      <c r="B39" s="123"/>
      <c r="C39" s="71">
        <v>416100</v>
      </c>
      <c r="D39" s="87" t="s">
        <v>540</v>
      </c>
      <c r="E39" s="145">
        <v>0</v>
      </c>
      <c r="F39" s="145"/>
      <c r="G39" s="156">
        <f t="shared" si="2"/>
        <v>0</v>
      </c>
      <c r="H39" s="206">
        <f t="shared" si="3"/>
        <v>0</v>
      </c>
      <c r="I39" s="6"/>
      <c r="J39" s="145">
        <v>0</v>
      </c>
      <c r="K39" s="145"/>
    </row>
    <row r="40" spans="1:11" ht="24.75" customHeight="1">
      <c r="A40" s="522"/>
      <c r="B40" s="523"/>
      <c r="C40" s="524" t="s">
        <v>78</v>
      </c>
      <c r="D40" s="524"/>
      <c r="E40" s="158">
        <f>E25+E27+E38</f>
        <v>88000</v>
      </c>
      <c r="F40" s="438">
        <f>F25+F27+F38</f>
        <v>115000</v>
      </c>
      <c r="G40" s="338">
        <f t="shared" si="2"/>
        <v>130.6818181818182</v>
      </c>
      <c r="H40" s="387">
        <f t="shared" si="3"/>
        <v>0.3774204135214966</v>
      </c>
      <c r="I40" s="6"/>
      <c r="J40" s="158">
        <f>J25+J27+J38</f>
        <v>93000</v>
      </c>
      <c r="K40" s="440">
        <f>K25+K27+K38</f>
        <v>0</v>
      </c>
    </row>
    <row r="41" spans="1:11" ht="12.75" customHeight="1">
      <c r="A41" s="160"/>
      <c r="B41" s="161"/>
      <c r="C41" s="555" t="s">
        <v>538</v>
      </c>
      <c r="D41" s="556"/>
      <c r="E41" s="162"/>
      <c r="F41" s="162"/>
      <c r="G41" s="162"/>
      <c r="H41" s="163"/>
      <c r="I41" s="6"/>
      <c r="J41" s="162"/>
      <c r="K41" s="162"/>
    </row>
    <row r="42" spans="1:11" ht="12.75">
      <c r="A42" s="164"/>
      <c r="B42" s="165"/>
      <c r="C42" s="557"/>
      <c r="D42" s="558"/>
      <c r="E42" s="166"/>
      <c r="F42" s="166"/>
      <c r="G42" s="166"/>
      <c r="H42" s="167"/>
      <c r="I42" s="6"/>
      <c r="J42" s="166"/>
      <c r="K42" s="166"/>
    </row>
    <row r="43" spans="1:11" ht="17.25" customHeight="1">
      <c r="A43" s="168"/>
      <c r="B43" s="169"/>
      <c r="C43" s="559"/>
      <c r="D43" s="560"/>
      <c r="E43" s="170"/>
      <c r="F43" s="170"/>
      <c r="G43" s="170"/>
      <c r="H43" s="171"/>
      <c r="I43" s="6"/>
      <c r="J43" s="170"/>
      <c r="K43" s="170"/>
    </row>
    <row r="44" spans="1:11" ht="12.75">
      <c r="A44" s="120"/>
      <c r="B44" s="47">
        <v>412000</v>
      </c>
      <c r="C44" s="60"/>
      <c r="D44" s="134" t="s">
        <v>117</v>
      </c>
      <c r="E44" s="136">
        <f>SUM(E45:E50)</f>
        <v>30800</v>
      </c>
      <c r="F44" s="136">
        <f>SUM(F45:F50)</f>
        <v>34730</v>
      </c>
      <c r="G44" s="136">
        <f aca="true" t="shared" si="4" ref="G44:G59">IF(E44&gt;0,F44/E44*100,0)</f>
        <v>112.75974025974025</v>
      </c>
      <c r="H44" s="172">
        <f aca="true" t="shared" si="5" ref="H44:H59">F44/$F$587*100</f>
        <v>0.11398096488349196</v>
      </c>
      <c r="I44" s="6"/>
      <c r="J44" s="174">
        <f>SUM(J45:J50)</f>
        <v>33800</v>
      </c>
      <c r="K44" s="174">
        <f>SUM(K45:K50)</f>
        <v>0</v>
      </c>
    </row>
    <row r="45" spans="1:11" ht="25.5">
      <c r="A45" s="120" t="s">
        <v>53</v>
      </c>
      <c r="B45" s="47"/>
      <c r="C45" s="60">
        <v>412200</v>
      </c>
      <c r="D45" s="82" t="s">
        <v>119</v>
      </c>
      <c r="E45" s="143">
        <v>17400</v>
      </c>
      <c r="F45" s="143">
        <v>17900</v>
      </c>
      <c r="G45" s="139">
        <f t="shared" si="4"/>
        <v>102.87356321839081</v>
      </c>
      <c r="H45" s="382">
        <f t="shared" si="5"/>
        <v>0.058746307843780765</v>
      </c>
      <c r="I45" s="6"/>
      <c r="J45" s="143">
        <v>17400</v>
      </c>
      <c r="K45" s="143"/>
    </row>
    <row r="46" spans="1:11" ht="12.75">
      <c r="A46" s="120" t="s">
        <v>53</v>
      </c>
      <c r="B46" s="47"/>
      <c r="C46" s="60">
        <v>412300</v>
      </c>
      <c r="D46" s="123" t="s">
        <v>120</v>
      </c>
      <c r="E46" s="143">
        <v>1000</v>
      </c>
      <c r="F46" s="143">
        <v>1100</v>
      </c>
      <c r="G46" s="139">
        <f t="shared" si="4"/>
        <v>110.00000000000001</v>
      </c>
      <c r="H46" s="382">
        <f t="shared" si="5"/>
        <v>0.0036101083032490976</v>
      </c>
      <c r="I46" s="6"/>
      <c r="J46" s="143">
        <v>1000</v>
      </c>
      <c r="K46" s="143"/>
    </row>
    <row r="47" spans="1:11" ht="12.75">
      <c r="A47" s="120" t="s">
        <v>53</v>
      </c>
      <c r="B47" s="47"/>
      <c r="C47" s="60">
        <v>412400</v>
      </c>
      <c r="D47" s="82" t="s">
        <v>121</v>
      </c>
      <c r="E47" s="143">
        <v>1500</v>
      </c>
      <c r="F47" s="143">
        <v>1400</v>
      </c>
      <c r="G47" s="139">
        <f t="shared" si="4"/>
        <v>93.33333333333333</v>
      </c>
      <c r="H47" s="382">
        <f t="shared" si="5"/>
        <v>0.004594683295044306</v>
      </c>
      <c r="I47" s="6"/>
      <c r="J47" s="143">
        <v>1500</v>
      </c>
      <c r="K47" s="143"/>
    </row>
    <row r="48" spans="1:11" ht="12.75">
      <c r="A48" s="120" t="s">
        <v>53</v>
      </c>
      <c r="B48" s="47"/>
      <c r="C48" s="123">
        <v>412700</v>
      </c>
      <c r="D48" s="123" t="s">
        <v>124</v>
      </c>
      <c r="E48" s="143">
        <v>7000</v>
      </c>
      <c r="F48" s="143">
        <v>5000</v>
      </c>
      <c r="G48" s="139">
        <f t="shared" si="4"/>
        <v>71.42857142857143</v>
      </c>
      <c r="H48" s="382">
        <f t="shared" si="5"/>
        <v>0.016409583196586804</v>
      </c>
      <c r="I48" s="6"/>
      <c r="J48" s="143">
        <v>10000</v>
      </c>
      <c r="K48" s="143"/>
    </row>
    <row r="49" spans="1:11" ht="12.75">
      <c r="A49" s="120" t="s">
        <v>53</v>
      </c>
      <c r="B49" s="47"/>
      <c r="C49" s="123">
        <v>412900</v>
      </c>
      <c r="D49" s="123" t="s">
        <v>0</v>
      </c>
      <c r="E49" s="143">
        <v>400</v>
      </c>
      <c r="F49" s="143">
        <v>400</v>
      </c>
      <c r="G49" s="139">
        <f t="shared" si="4"/>
        <v>100</v>
      </c>
      <c r="H49" s="382">
        <f t="shared" si="5"/>
        <v>0.0013127666557269445</v>
      </c>
      <c r="I49" s="6"/>
      <c r="J49" s="143">
        <v>400</v>
      </c>
      <c r="K49" s="143"/>
    </row>
    <row r="50" spans="1:11" ht="12.75">
      <c r="A50" s="120" t="s">
        <v>53</v>
      </c>
      <c r="B50" s="47"/>
      <c r="C50" s="123">
        <v>412900</v>
      </c>
      <c r="D50" s="123" t="s">
        <v>126</v>
      </c>
      <c r="E50" s="145">
        <v>3500</v>
      </c>
      <c r="F50" s="145">
        <v>8930</v>
      </c>
      <c r="G50" s="139">
        <f t="shared" si="4"/>
        <v>255.14285714285717</v>
      </c>
      <c r="H50" s="382">
        <f t="shared" si="5"/>
        <v>0.029307515589104036</v>
      </c>
      <c r="I50" s="6"/>
      <c r="J50" s="145">
        <v>3500</v>
      </c>
      <c r="K50" s="145"/>
    </row>
    <row r="51" spans="1:11" ht="12.75">
      <c r="A51" s="120"/>
      <c r="B51" s="47">
        <v>415000</v>
      </c>
      <c r="C51" s="123"/>
      <c r="D51" s="146" t="s">
        <v>131</v>
      </c>
      <c r="E51" s="174">
        <f>SUM(E52:E52)</f>
        <v>1000</v>
      </c>
      <c r="F51" s="136">
        <f>SUM(F52:F52)</f>
        <v>1000</v>
      </c>
      <c r="G51" s="136">
        <f t="shared" si="4"/>
        <v>100</v>
      </c>
      <c r="H51" s="172">
        <f t="shared" si="5"/>
        <v>0.0032819166393173614</v>
      </c>
      <c r="I51" s="6"/>
      <c r="J51" s="174">
        <f>SUM(J52:J52)</f>
        <v>1000</v>
      </c>
      <c r="K51" s="174">
        <f>SUM(K52:K52)</f>
        <v>0</v>
      </c>
    </row>
    <row r="52" spans="1:11" ht="14.25" customHeight="1">
      <c r="A52" s="120" t="s">
        <v>53</v>
      </c>
      <c r="B52" s="47"/>
      <c r="C52" s="123">
        <v>415200</v>
      </c>
      <c r="D52" s="82" t="s">
        <v>642</v>
      </c>
      <c r="E52" s="145">
        <v>1000</v>
      </c>
      <c r="F52" s="145">
        <v>1000</v>
      </c>
      <c r="G52" s="139">
        <f t="shared" si="4"/>
        <v>100</v>
      </c>
      <c r="H52" s="382">
        <f t="shared" si="5"/>
        <v>0.0032819166393173614</v>
      </c>
      <c r="I52" s="6"/>
      <c r="J52" s="145">
        <v>1000</v>
      </c>
      <c r="K52" s="145"/>
    </row>
    <row r="53" spans="1:11" ht="26.25" customHeight="1">
      <c r="A53" s="120"/>
      <c r="B53" s="47"/>
      <c r="C53" s="60"/>
      <c r="D53" s="134" t="s">
        <v>441</v>
      </c>
      <c r="E53" s="174">
        <f>SUM(E54:E58)</f>
        <v>420000</v>
      </c>
      <c r="F53" s="136">
        <f>SUM(F54:F58)</f>
        <v>500000</v>
      </c>
      <c r="G53" s="136">
        <f t="shared" si="4"/>
        <v>119.04761904761905</v>
      </c>
      <c r="H53" s="172">
        <f t="shared" si="5"/>
        <v>1.6409583196586808</v>
      </c>
      <c r="I53" s="6"/>
      <c r="J53" s="174">
        <f>SUM(J54:J58)</f>
        <v>170000</v>
      </c>
      <c r="K53" s="174">
        <f>SUM(K54:K58)</f>
        <v>0</v>
      </c>
    </row>
    <row r="54" spans="1:11" ht="12.75">
      <c r="A54" s="120" t="s">
        <v>53</v>
      </c>
      <c r="B54" s="47"/>
      <c r="C54" s="60">
        <v>412500</v>
      </c>
      <c r="D54" s="82" t="s">
        <v>122</v>
      </c>
      <c r="E54" s="145">
        <v>10000</v>
      </c>
      <c r="F54" s="145">
        <v>10000</v>
      </c>
      <c r="G54" s="139">
        <f t="shared" si="4"/>
        <v>100</v>
      </c>
      <c r="H54" s="382">
        <f t="shared" si="5"/>
        <v>0.03281916639317361</v>
      </c>
      <c r="I54" s="6"/>
      <c r="J54" s="145">
        <v>10000</v>
      </c>
      <c r="K54" s="145"/>
    </row>
    <row r="55" spans="1:11" ht="15" customHeight="1">
      <c r="A55" s="120" t="s">
        <v>53</v>
      </c>
      <c r="B55" s="47"/>
      <c r="C55" s="60">
        <v>511200</v>
      </c>
      <c r="D55" s="116" t="s">
        <v>615</v>
      </c>
      <c r="E55" s="145">
        <v>5000</v>
      </c>
      <c r="F55" s="145">
        <v>3000</v>
      </c>
      <c r="G55" s="139">
        <f t="shared" si="4"/>
        <v>60</v>
      </c>
      <c r="H55" s="382">
        <f t="shared" si="5"/>
        <v>0.009845749917952083</v>
      </c>
      <c r="I55" s="411"/>
      <c r="J55" s="145">
        <v>2000</v>
      </c>
      <c r="K55" s="145"/>
    </row>
    <row r="56" spans="1:11" ht="12.75">
      <c r="A56" s="120" t="s">
        <v>53</v>
      </c>
      <c r="B56" s="47"/>
      <c r="C56" s="60">
        <v>511300</v>
      </c>
      <c r="D56" s="87" t="s">
        <v>2</v>
      </c>
      <c r="E56" s="145">
        <v>380000</v>
      </c>
      <c r="F56" s="145">
        <v>395000</v>
      </c>
      <c r="G56" s="139">
        <f t="shared" si="4"/>
        <v>103.94736842105263</v>
      </c>
      <c r="H56" s="382">
        <f t="shared" si="5"/>
        <v>1.2963570725303577</v>
      </c>
      <c r="I56" s="412"/>
      <c r="J56" s="145">
        <v>151000</v>
      </c>
      <c r="K56" s="145"/>
    </row>
    <row r="57" spans="1:11" ht="12.75">
      <c r="A57" s="127" t="s">
        <v>53</v>
      </c>
      <c r="B57" s="47"/>
      <c r="C57" s="60">
        <v>511400</v>
      </c>
      <c r="D57" s="87" t="s">
        <v>272</v>
      </c>
      <c r="E57" s="143">
        <v>10000</v>
      </c>
      <c r="F57" s="143">
        <v>2000</v>
      </c>
      <c r="G57" s="139">
        <f t="shared" si="4"/>
        <v>20</v>
      </c>
      <c r="H57" s="382">
        <f t="shared" si="5"/>
        <v>0.006563833278634723</v>
      </c>
      <c r="I57" s="6"/>
      <c r="J57" s="143">
        <v>2000</v>
      </c>
      <c r="K57" s="143"/>
    </row>
    <row r="58" spans="1:11" ht="25.5">
      <c r="A58" s="127" t="s">
        <v>53</v>
      </c>
      <c r="B58" s="47"/>
      <c r="C58" s="60">
        <v>516100</v>
      </c>
      <c r="D58" s="87" t="s">
        <v>227</v>
      </c>
      <c r="E58" s="143">
        <v>15000</v>
      </c>
      <c r="F58" s="143">
        <v>90000</v>
      </c>
      <c r="G58" s="139">
        <f t="shared" si="4"/>
        <v>600</v>
      </c>
      <c r="H58" s="382">
        <f t="shared" si="5"/>
        <v>0.29537249753856254</v>
      </c>
      <c r="I58" s="6"/>
      <c r="J58" s="143">
        <v>5000</v>
      </c>
      <c r="K58" s="143"/>
    </row>
    <row r="59" spans="1:11" ht="26.25" customHeight="1">
      <c r="A59" s="522"/>
      <c r="B59" s="523"/>
      <c r="C59" s="524" t="s">
        <v>250</v>
      </c>
      <c r="D59" s="525"/>
      <c r="E59" s="158">
        <f>E44+E51+E53</f>
        <v>451800</v>
      </c>
      <c r="F59" s="439">
        <f>F44+F51+F53</f>
        <v>535730</v>
      </c>
      <c r="G59" s="359">
        <f t="shared" si="4"/>
        <v>118.576803895529</v>
      </c>
      <c r="H59" s="339">
        <f t="shared" si="5"/>
        <v>1.75822120118149</v>
      </c>
      <c r="I59" s="6"/>
      <c r="J59" s="158">
        <f>J44+J51+J53</f>
        <v>204800</v>
      </c>
      <c r="K59" s="440">
        <f>K44+K51+K53</f>
        <v>0</v>
      </c>
    </row>
    <row r="60" spans="1:11" ht="12.75">
      <c r="A60" s="549"/>
      <c r="B60" s="550"/>
      <c r="C60" s="555" t="s">
        <v>506</v>
      </c>
      <c r="D60" s="556"/>
      <c r="E60" s="177"/>
      <c r="F60" s="177"/>
      <c r="G60" s="177"/>
      <c r="H60" s="178"/>
      <c r="I60" s="7"/>
      <c r="J60" s="177"/>
      <c r="K60" s="177"/>
    </row>
    <row r="61" spans="1:11" ht="12.75">
      <c r="A61" s="551"/>
      <c r="B61" s="552"/>
      <c r="C61" s="557"/>
      <c r="D61" s="558"/>
      <c r="E61" s="179"/>
      <c r="F61" s="179"/>
      <c r="G61" s="179"/>
      <c r="H61" s="180"/>
      <c r="I61" s="7"/>
      <c r="J61" s="179"/>
      <c r="K61" s="179"/>
    </row>
    <row r="62" spans="1:11" ht="16.5" customHeight="1">
      <c r="A62" s="553"/>
      <c r="B62" s="554"/>
      <c r="C62" s="559"/>
      <c r="D62" s="560"/>
      <c r="E62" s="179"/>
      <c r="F62" s="179"/>
      <c r="G62" s="179"/>
      <c r="H62" s="180"/>
      <c r="I62" s="7"/>
      <c r="J62" s="179"/>
      <c r="K62" s="179"/>
    </row>
    <row r="63" spans="1:11" ht="12.75">
      <c r="A63" s="120"/>
      <c r="B63" s="181" t="s">
        <v>334</v>
      </c>
      <c r="C63" s="182"/>
      <c r="D63" s="183" t="s">
        <v>117</v>
      </c>
      <c r="E63" s="174">
        <f>SUM(E64:E66)</f>
        <v>4000</v>
      </c>
      <c r="F63" s="174">
        <f>SUM(F64:F66)</f>
        <v>4000</v>
      </c>
      <c r="G63" s="174">
        <f aca="true" t="shared" si="6" ref="G63:G72">IF(E63&gt;0,F63/E63*100,0)</f>
        <v>100</v>
      </c>
      <c r="H63" s="141">
        <f aca="true" t="shared" si="7" ref="H63:H72">F63/$F$587*100</f>
        <v>0.013127666557269446</v>
      </c>
      <c r="I63" s="7"/>
      <c r="J63" s="174">
        <f>SUM(J64:J66)</f>
        <v>4000</v>
      </c>
      <c r="K63" s="174">
        <f>SUM(K64:K66)</f>
        <v>0</v>
      </c>
    </row>
    <row r="64" spans="1:11" ht="12.75">
      <c r="A64" s="120" t="s">
        <v>53</v>
      </c>
      <c r="B64" s="47"/>
      <c r="C64" s="71">
        <v>412900</v>
      </c>
      <c r="D64" s="82" t="s">
        <v>254</v>
      </c>
      <c r="E64" s="139">
        <v>2000</v>
      </c>
      <c r="F64" s="139">
        <v>2000</v>
      </c>
      <c r="G64" s="185">
        <f t="shared" si="6"/>
        <v>100</v>
      </c>
      <c r="H64" s="64">
        <f t="shared" si="7"/>
        <v>0.006563833278634723</v>
      </c>
      <c r="I64" s="7"/>
      <c r="J64" s="139">
        <v>2000</v>
      </c>
      <c r="K64" s="139"/>
    </row>
    <row r="65" spans="1:11" ht="26.25" customHeight="1">
      <c r="A65" s="120" t="s">
        <v>53</v>
      </c>
      <c r="B65" s="47"/>
      <c r="C65" s="71">
        <v>412900</v>
      </c>
      <c r="D65" s="82" t="s">
        <v>279</v>
      </c>
      <c r="E65" s="139">
        <v>2000</v>
      </c>
      <c r="F65" s="139">
        <v>2000</v>
      </c>
      <c r="G65" s="185">
        <f t="shared" si="6"/>
        <v>100</v>
      </c>
      <c r="H65" s="64">
        <f t="shared" si="7"/>
        <v>0.006563833278634723</v>
      </c>
      <c r="I65" s="7"/>
      <c r="J65" s="139">
        <v>2000</v>
      </c>
      <c r="K65" s="139"/>
    </row>
    <row r="66" spans="1:11" ht="0.75" customHeight="1" hidden="1">
      <c r="A66" s="120" t="s">
        <v>53</v>
      </c>
      <c r="B66" s="47"/>
      <c r="C66" s="71">
        <v>412900</v>
      </c>
      <c r="D66" s="82" t="s">
        <v>407</v>
      </c>
      <c r="E66" s="186">
        <v>0</v>
      </c>
      <c r="F66" s="186">
        <v>0</v>
      </c>
      <c r="G66" s="174">
        <f t="shared" si="6"/>
        <v>0</v>
      </c>
      <c r="H66" s="141">
        <f t="shared" si="7"/>
        <v>0</v>
      </c>
      <c r="I66" s="7"/>
      <c r="J66" s="186">
        <v>0</v>
      </c>
      <c r="K66" s="186">
        <v>0</v>
      </c>
    </row>
    <row r="67" spans="1:11" ht="12.75">
      <c r="A67" s="120"/>
      <c r="B67" s="47">
        <v>416000</v>
      </c>
      <c r="C67" s="71"/>
      <c r="D67" s="134" t="s">
        <v>1</v>
      </c>
      <c r="E67" s="174">
        <f>SUM(E68:E69)</f>
        <v>5000</v>
      </c>
      <c r="F67" s="174">
        <f>SUM(F68:F69)</f>
        <v>5000</v>
      </c>
      <c r="G67" s="174">
        <f t="shared" si="6"/>
        <v>100</v>
      </c>
      <c r="H67" s="141">
        <f t="shared" si="7"/>
        <v>0.016409583196586804</v>
      </c>
      <c r="I67" s="7"/>
      <c r="J67" s="174">
        <f>SUM(J68:J69)</f>
        <v>5000</v>
      </c>
      <c r="K67" s="174">
        <f>SUM(K68:K69)</f>
        <v>0</v>
      </c>
    </row>
    <row r="68" spans="1:11" ht="13.5" customHeight="1">
      <c r="A68" s="120" t="s">
        <v>53</v>
      </c>
      <c r="B68" s="47"/>
      <c r="C68" s="71">
        <v>416100</v>
      </c>
      <c r="D68" s="82" t="s">
        <v>189</v>
      </c>
      <c r="E68" s="187">
        <v>5000</v>
      </c>
      <c r="F68" s="187">
        <v>5000</v>
      </c>
      <c r="G68" s="185">
        <f t="shared" si="6"/>
        <v>100</v>
      </c>
      <c r="H68" s="64">
        <f t="shared" si="7"/>
        <v>0.016409583196586804</v>
      </c>
      <c r="I68" s="7"/>
      <c r="J68" s="187">
        <v>5000</v>
      </c>
      <c r="K68" s="187"/>
    </row>
    <row r="69" spans="1:11" ht="19.5" customHeight="1" hidden="1">
      <c r="A69" s="120" t="s">
        <v>53</v>
      </c>
      <c r="B69" s="47"/>
      <c r="C69" s="71">
        <v>416100</v>
      </c>
      <c r="D69" s="82" t="s">
        <v>410</v>
      </c>
      <c r="E69" s="187">
        <v>0</v>
      </c>
      <c r="F69" s="187">
        <v>0</v>
      </c>
      <c r="G69" s="174">
        <f t="shared" si="6"/>
        <v>0</v>
      </c>
      <c r="H69" s="141">
        <f t="shared" si="7"/>
        <v>0</v>
      </c>
      <c r="I69" s="7"/>
      <c r="J69" s="187">
        <v>0</v>
      </c>
      <c r="K69" s="187">
        <v>0</v>
      </c>
    </row>
    <row r="70" spans="1:11" ht="12.75">
      <c r="A70" s="120"/>
      <c r="B70" s="47">
        <v>511000</v>
      </c>
      <c r="C70" s="71"/>
      <c r="D70" s="134" t="s">
        <v>133</v>
      </c>
      <c r="E70" s="174">
        <f>SUM(E71)</f>
        <v>6000</v>
      </c>
      <c r="F70" s="174">
        <f>SUM(F71)</f>
        <v>6000</v>
      </c>
      <c r="G70" s="174">
        <f t="shared" si="6"/>
        <v>100</v>
      </c>
      <c r="H70" s="141">
        <f t="shared" si="7"/>
        <v>0.019691499835904167</v>
      </c>
      <c r="I70" s="7"/>
      <c r="J70" s="174">
        <f>SUM(J71)</f>
        <v>8000</v>
      </c>
      <c r="K70" s="174">
        <f>SUM(K71)</f>
        <v>0</v>
      </c>
    </row>
    <row r="71" spans="1:11" ht="12.75">
      <c r="A71" s="120" t="s">
        <v>53</v>
      </c>
      <c r="B71" s="47"/>
      <c r="C71" s="71">
        <v>511300</v>
      </c>
      <c r="D71" s="82" t="s">
        <v>255</v>
      </c>
      <c r="E71" s="187">
        <v>6000</v>
      </c>
      <c r="F71" s="187">
        <v>6000</v>
      </c>
      <c r="G71" s="185">
        <f t="shared" si="6"/>
        <v>100</v>
      </c>
      <c r="H71" s="64">
        <f t="shared" si="7"/>
        <v>0.019691499835904167</v>
      </c>
      <c r="I71" s="7"/>
      <c r="J71" s="187">
        <v>8000</v>
      </c>
      <c r="K71" s="187"/>
    </row>
    <row r="72" spans="1:11" ht="28.5" customHeight="1">
      <c r="A72" s="522"/>
      <c r="B72" s="523"/>
      <c r="C72" s="524" t="s">
        <v>405</v>
      </c>
      <c r="D72" s="524"/>
      <c r="E72" s="158">
        <f>E63+E67+E70</f>
        <v>15000</v>
      </c>
      <c r="F72" s="440">
        <f>F63+F67+F70</f>
        <v>15000</v>
      </c>
      <c r="G72" s="360">
        <f t="shared" si="6"/>
        <v>100</v>
      </c>
      <c r="H72" s="388">
        <f t="shared" si="7"/>
        <v>0.04922874958976042</v>
      </c>
      <c r="I72" s="7"/>
      <c r="J72" s="158">
        <f>J63+J67+J70</f>
        <v>17000</v>
      </c>
      <c r="K72" s="440">
        <f>K63+K67+K70</f>
        <v>0</v>
      </c>
    </row>
    <row r="73" spans="1:11" ht="9.75" customHeight="1">
      <c r="A73" s="522"/>
      <c r="B73" s="523"/>
      <c r="C73" s="526" t="s">
        <v>505</v>
      </c>
      <c r="D73" s="526"/>
      <c r="E73" s="188"/>
      <c r="F73" s="188"/>
      <c r="G73" s="188"/>
      <c r="H73" s="189"/>
      <c r="I73" s="6"/>
      <c r="J73" s="188"/>
      <c r="K73" s="188"/>
    </row>
    <row r="74" spans="1:11" ht="9.75" customHeight="1">
      <c r="A74" s="522"/>
      <c r="B74" s="523"/>
      <c r="C74" s="526"/>
      <c r="D74" s="526"/>
      <c r="E74" s="190"/>
      <c r="F74" s="190"/>
      <c r="G74" s="190"/>
      <c r="H74" s="191"/>
      <c r="I74" s="6"/>
      <c r="J74" s="190"/>
      <c r="K74" s="190"/>
    </row>
    <row r="75" spans="1:11" ht="24" customHeight="1">
      <c r="A75" s="522"/>
      <c r="B75" s="523"/>
      <c r="C75" s="526"/>
      <c r="D75" s="526"/>
      <c r="E75" s="192"/>
      <c r="F75" s="192"/>
      <c r="G75" s="192"/>
      <c r="H75" s="193"/>
      <c r="I75" s="6"/>
      <c r="J75" s="192"/>
      <c r="K75" s="192"/>
    </row>
    <row r="76" spans="1:11" ht="14.25" customHeight="1">
      <c r="A76" s="120"/>
      <c r="B76" s="47">
        <v>412000</v>
      </c>
      <c r="C76" s="53"/>
      <c r="D76" s="134" t="s">
        <v>117</v>
      </c>
      <c r="E76" s="136">
        <f>SUM(E77:E82)</f>
        <v>43000</v>
      </c>
      <c r="F76" s="136">
        <f>SUM(F77:F82)</f>
        <v>43000</v>
      </c>
      <c r="G76" s="136">
        <f aca="true" t="shared" si="8" ref="G76:G88">IF(E76&gt;0,F76/E76*100,0)</f>
        <v>100</v>
      </c>
      <c r="H76" s="137">
        <f aca="true" t="shared" si="9" ref="H76:H88">F76/$F$587*100</f>
        <v>0.14112241549064655</v>
      </c>
      <c r="I76" s="6"/>
      <c r="J76" s="174">
        <f>SUM(J77:J82)</f>
        <v>33000</v>
      </c>
      <c r="K76" s="174">
        <f>SUM(K77:K82)</f>
        <v>0</v>
      </c>
    </row>
    <row r="77" spans="1:11" ht="12.75" customHeight="1">
      <c r="A77" s="120" t="s">
        <v>22</v>
      </c>
      <c r="B77" s="123"/>
      <c r="C77" s="60">
        <v>412700</v>
      </c>
      <c r="D77" s="123" t="s">
        <v>138</v>
      </c>
      <c r="E77" s="143">
        <v>7200</v>
      </c>
      <c r="F77" s="143">
        <v>4500</v>
      </c>
      <c r="G77" s="139">
        <f t="shared" si="8"/>
        <v>62.5</v>
      </c>
      <c r="H77" s="206">
        <f t="shared" si="9"/>
        <v>0.014768624876928125</v>
      </c>
      <c r="I77" s="6"/>
      <c r="J77" s="143">
        <v>7200</v>
      </c>
      <c r="K77" s="143"/>
    </row>
    <row r="78" spans="1:11" ht="12.75" customHeight="1">
      <c r="A78" s="120" t="s">
        <v>31</v>
      </c>
      <c r="B78" s="123"/>
      <c r="C78" s="60">
        <v>412700</v>
      </c>
      <c r="D78" s="123" t="s">
        <v>103</v>
      </c>
      <c r="E78" s="143">
        <v>12300</v>
      </c>
      <c r="F78" s="143">
        <v>12500</v>
      </c>
      <c r="G78" s="139">
        <f t="shared" si="8"/>
        <v>101.62601626016261</v>
      </c>
      <c r="H78" s="206">
        <f t="shared" si="9"/>
        <v>0.04102395799146702</v>
      </c>
      <c r="I78" s="6"/>
      <c r="J78" s="143">
        <v>12300</v>
      </c>
      <c r="K78" s="143"/>
    </row>
    <row r="79" spans="1:11" ht="12.75" customHeight="1">
      <c r="A79" s="120" t="s">
        <v>22</v>
      </c>
      <c r="B79" s="123"/>
      <c r="C79" s="60">
        <v>412900</v>
      </c>
      <c r="D79" s="82" t="s">
        <v>0</v>
      </c>
      <c r="E79" s="143">
        <v>300</v>
      </c>
      <c r="F79" s="143">
        <v>400</v>
      </c>
      <c r="G79" s="139">
        <f t="shared" si="8"/>
        <v>133.33333333333331</v>
      </c>
      <c r="H79" s="206">
        <f t="shared" si="9"/>
        <v>0.0013127666557269445</v>
      </c>
      <c r="I79" s="6"/>
      <c r="J79" s="143">
        <v>300</v>
      </c>
      <c r="K79" s="143"/>
    </row>
    <row r="80" spans="1:11" ht="12.75" customHeight="1">
      <c r="A80" s="120" t="s">
        <v>22</v>
      </c>
      <c r="B80" s="123"/>
      <c r="C80" s="60">
        <v>412900</v>
      </c>
      <c r="D80" s="87" t="s">
        <v>175</v>
      </c>
      <c r="E80" s="143">
        <v>11300</v>
      </c>
      <c r="F80" s="143">
        <v>11500</v>
      </c>
      <c r="G80" s="139">
        <f t="shared" si="8"/>
        <v>101.76991150442478</v>
      </c>
      <c r="H80" s="206">
        <f t="shared" si="9"/>
        <v>0.037742041352149654</v>
      </c>
      <c r="I80" s="6"/>
      <c r="J80" s="143">
        <v>11300</v>
      </c>
      <c r="K80" s="143"/>
    </row>
    <row r="81" spans="1:11" ht="14.25" customHeight="1">
      <c r="A81" s="120" t="s">
        <v>22</v>
      </c>
      <c r="B81" s="123"/>
      <c r="C81" s="196">
        <v>412900</v>
      </c>
      <c r="D81" s="87" t="s">
        <v>413</v>
      </c>
      <c r="E81" s="143">
        <v>10000</v>
      </c>
      <c r="F81" s="143">
        <v>12000</v>
      </c>
      <c r="G81" s="139">
        <f t="shared" si="8"/>
        <v>120</v>
      </c>
      <c r="H81" s="206">
        <f t="shared" si="9"/>
        <v>0.03938299967180833</v>
      </c>
      <c r="I81" s="6"/>
      <c r="J81" s="143">
        <v>0</v>
      </c>
      <c r="K81" s="143"/>
    </row>
    <row r="82" spans="1:11" ht="14.25" customHeight="1">
      <c r="A82" s="120" t="s">
        <v>22</v>
      </c>
      <c r="B82" s="123"/>
      <c r="C82" s="196">
        <v>412900</v>
      </c>
      <c r="D82" s="87" t="s">
        <v>126</v>
      </c>
      <c r="E82" s="143">
        <v>1900</v>
      </c>
      <c r="F82" s="143">
        <v>2100</v>
      </c>
      <c r="G82" s="139">
        <f t="shared" si="8"/>
        <v>110.5263157894737</v>
      </c>
      <c r="H82" s="206">
        <f t="shared" si="9"/>
        <v>0.006892024942566458</v>
      </c>
      <c r="I82" s="6"/>
      <c r="J82" s="143">
        <v>1900</v>
      </c>
      <c r="K82" s="143"/>
    </row>
    <row r="83" spans="1:11" ht="14.25" customHeight="1">
      <c r="A83" s="120"/>
      <c r="B83" s="123"/>
      <c r="C83" s="60"/>
      <c r="D83" s="86" t="s">
        <v>115</v>
      </c>
      <c r="E83" s="174">
        <f>SUM(E84:E87)</f>
        <v>12000</v>
      </c>
      <c r="F83" s="136">
        <f>SUM(F84:F87)</f>
        <v>12000</v>
      </c>
      <c r="G83" s="136">
        <f t="shared" si="8"/>
        <v>100</v>
      </c>
      <c r="H83" s="137">
        <f t="shared" si="9"/>
        <v>0.03938299967180833</v>
      </c>
      <c r="I83" s="6"/>
      <c r="J83" s="174">
        <f>SUM(J84:J87)</f>
        <v>13000</v>
      </c>
      <c r="K83" s="174">
        <f>SUM(K84:K87)</f>
        <v>0</v>
      </c>
    </row>
    <row r="84" spans="1:11" ht="14.25" customHeight="1">
      <c r="A84" s="120" t="s">
        <v>34</v>
      </c>
      <c r="B84" s="123"/>
      <c r="C84" s="60">
        <v>412300</v>
      </c>
      <c r="D84" s="87" t="s">
        <v>221</v>
      </c>
      <c r="E84" s="143">
        <v>1000</v>
      </c>
      <c r="F84" s="143">
        <v>1000</v>
      </c>
      <c r="G84" s="139">
        <f t="shared" si="8"/>
        <v>100</v>
      </c>
      <c r="H84" s="206">
        <f t="shared" si="9"/>
        <v>0.0032819166393173614</v>
      </c>
      <c r="I84" s="6"/>
      <c r="J84" s="143">
        <v>1000</v>
      </c>
      <c r="K84" s="143"/>
    </row>
    <row r="85" spans="1:11" ht="13.5" customHeight="1">
      <c r="A85" s="122" t="s">
        <v>34</v>
      </c>
      <c r="B85" s="194"/>
      <c r="C85" s="90">
        <v>412500</v>
      </c>
      <c r="D85" s="87" t="s">
        <v>214</v>
      </c>
      <c r="E85" s="145">
        <v>7000</v>
      </c>
      <c r="F85" s="145">
        <v>7000</v>
      </c>
      <c r="G85" s="139">
        <f t="shared" si="8"/>
        <v>100</v>
      </c>
      <c r="H85" s="206">
        <f t="shared" si="9"/>
        <v>0.02297341647522153</v>
      </c>
      <c r="I85" s="7"/>
      <c r="J85" s="145">
        <v>7000</v>
      </c>
      <c r="K85" s="145"/>
    </row>
    <row r="86" spans="1:11" ht="12.75" customHeight="1">
      <c r="A86" s="120" t="s">
        <v>34</v>
      </c>
      <c r="B86" s="123"/>
      <c r="C86" s="60">
        <v>412900</v>
      </c>
      <c r="D86" s="87" t="s">
        <v>215</v>
      </c>
      <c r="E86" s="145">
        <v>4000</v>
      </c>
      <c r="F86" s="145">
        <v>4000</v>
      </c>
      <c r="G86" s="139">
        <f t="shared" si="8"/>
        <v>100</v>
      </c>
      <c r="H86" s="206">
        <f t="shared" si="9"/>
        <v>0.013127666557269446</v>
      </c>
      <c r="I86" s="6"/>
      <c r="J86" s="145">
        <v>5000</v>
      </c>
      <c r="K86" s="145"/>
    </row>
    <row r="87" spans="1:11" ht="24" customHeight="1" hidden="1">
      <c r="A87" s="120" t="s">
        <v>34</v>
      </c>
      <c r="B87" s="123"/>
      <c r="C87" s="60">
        <v>412900</v>
      </c>
      <c r="D87" s="87" t="s">
        <v>562</v>
      </c>
      <c r="E87" s="145">
        <v>0</v>
      </c>
      <c r="F87" s="145"/>
      <c r="G87" s="139">
        <f t="shared" si="8"/>
        <v>0</v>
      </c>
      <c r="H87" s="206">
        <f t="shared" si="9"/>
        <v>0</v>
      </c>
      <c r="I87" s="6"/>
      <c r="J87" s="145">
        <v>0</v>
      </c>
      <c r="K87" s="145"/>
    </row>
    <row r="88" spans="1:11" ht="25.5" customHeight="1">
      <c r="A88" s="530"/>
      <c r="B88" s="531"/>
      <c r="C88" s="524" t="s">
        <v>79</v>
      </c>
      <c r="D88" s="525"/>
      <c r="E88" s="158">
        <f>E76+E83</f>
        <v>55000</v>
      </c>
      <c r="F88" s="439">
        <f>F76+F83</f>
        <v>55000</v>
      </c>
      <c r="G88" s="359">
        <f t="shared" si="8"/>
        <v>100</v>
      </c>
      <c r="H88" s="387">
        <f t="shared" si="9"/>
        <v>0.18050541516245489</v>
      </c>
      <c r="I88" s="6"/>
      <c r="J88" s="158">
        <f>J76+J83</f>
        <v>46000</v>
      </c>
      <c r="K88" s="440">
        <f>K76+K83</f>
        <v>0</v>
      </c>
    </row>
    <row r="89" spans="1:11" ht="9.75" customHeight="1">
      <c r="A89" s="522"/>
      <c r="B89" s="523"/>
      <c r="C89" s="526" t="s">
        <v>504</v>
      </c>
      <c r="D89" s="526"/>
      <c r="E89" s="188"/>
      <c r="F89" s="188"/>
      <c r="G89" s="188"/>
      <c r="H89" s="189"/>
      <c r="I89" s="6"/>
      <c r="J89" s="188"/>
      <c r="K89" s="188"/>
    </row>
    <row r="90" spans="1:11" ht="9.75" customHeight="1">
      <c r="A90" s="522"/>
      <c r="B90" s="523"/>
      <c r="C90" s="526"/>
      <c r="D90" s="526"/>
      <c r="E90" s="190"/>
      <c r="F90" s="190"/>
      <c r="G90" s="190"/>
      <c r="H90" s="191"/>
      <c r="I90" s="6"/>
      <c r="J90" s="190"/>
      <c r="K90" s="190"/>
    </row>
    <row r="91" spans="1:11" ht="21.75" customHeight="1">
      <c r="A91" s="522"/>
      <c r="B91" s="523"/>
      <c r="C91" s="526"/>
      <c r="D91" s="526"/>
      <c r="E91" s="192"/>
      <c r="F91" s="192"/>
      <c r="G91" s="192"/>
      <c r="H91" s="193"/>
      <c r="I91" s="6"/>
      <c r="J91" s="192"/>
      <c r="K91" s="192"/>
    </row>
    <row r="92" spans="1:11" ht="16.5" customHeight="1">
      <c r="A92" s="120"/>
      <c r="B92" s="47">
        <v>411000</v>
      </c>
      <c r="C92" s="195"/>
      <c r="D92" s="65" t="s">
        <v>616</v>
      </c>
      <c r="E92" s="135">
        <f>SUM(E93:E96)</f>
        <v>4643000</v>
      </c>
      <c r="F92" s="136">
        <f>SUM(F93:F96)</f>
        <v>4739000</v>
      </c>
      <c r="G92" s="136">
        <f aca="true" t="shared" si="10" ref="G92:G106">IF(E92&gt;0,F92/E92*100,0)</f>
        <v>102.06762868834804</v>
      </c>
      <c r="H92" s="137">
        <f aca="true" t="shared" si="11" ref="H92:H106">F92/$F$587*100</f>
        <v>15.553002953724976</v>
      </c>
      <c r="I92" s="6"/>
      <c r="J92" s="140">
        <f>SUM(J93:J96)</f>
        <v>4828000</v>
      </c>
      <c r="K92" s="174">
        <f>SUM(K93:K96)</f>
        <v>0</v>
      </c>
    </row>
    <row r="93" spans="1:11" ht="12.75" customHeight="1">
      <c r="A93" s="120" t="s">
        <v>22</v>
      </c>
      <c r="B93" s="123"/>
      <c r="C93" s="60">
        <v>411100</v>
      </c>
      <c r="D93" s="66" t="s">
        <v>299</v>
      </c>
      <c r="E93" s="187">
        <v>3415000</v>
      </c>
      <c r="F93" s="187">
        <v>3492000</v>
      </c>
      <c r="G93" s="139">
        <f t="shared" si="10"/>
        <v>102.25475841874085</v>
      </c>
      <c r="H93" s="206">
        <f t="shared" si="11"/>
        <v>11.460452904496226</v>
      </c>
      <c r="I93" s="312"/>
      <c r="J93" s="187">
        <v>3520000</v>
      </c>
      <c r="K93" s="187"/>
    </row>
    <row r="94" spans="1:11" ht="26.25" customHeight="1">
      <c r="A94" s="120" t="s">
        <v>22</v>
      </c>
      <c r="B94" s="123"/>
      <c r="C94" s="60">
        <v>411200</v>
      </c>
      <c r="D94" s="66" t="s">
        <v>304</v>
      </c>
      <c r="E94" s="145">
        <v>990000</v>
      </c>
      <c r="F94" s="145">
        <v>990000</v>
      </c>
      <c r="G94" s="139">
        <f t="shared" si="10"/>
        <v>100</v>
      </c>
      <c r="H94" s="206">
        <f t="shared" si="11"/>
        <v>3.2490974729241873</v>
      </c>
      <c r="I94" s="6"/>
      <c r="J94" s="145">
        <v>990000</v>
      </c>
      <c r="K94" s="145"/>
    </row>
    <row r="95" spans="1:11" ht="25.5">
      <c r="A95" s="120" t="s">
        <v>22</v>
      </c>
      <c r="B95" s="123"/>
      <c r="C95" s="60">
        <v>411300</v>
      </c>
      <c r="D95" s="66" t="s">
        <v>380</v>
      </c>
      <c r="E95" s="145">
        <v>138000</v>
      </c>
      <c r="F95" s="145">
        <v>157000</v>
      </c>
      <c r="G95" s="139">
        <f t="shared" si="10"/>
        <v>113.76811594202898</v>
      </c>
      <c r="H95" s="206">
        <f t="shared" si="11"/>
        <v>0.5152609123728258</v>
      </c>
      <c r="I95" s="6"/>
      <c r="J95" s="145">
        <v>138000</v>
      </c>
      <c r="K95" s="145"/>
    </row>
    <row r="96" spans="1:11" ht="12.75" customHeight="1">
      <c r="A96" s="120" t="s">
        <v>22</v>
      </c>
      <c r="B96" s="123"/>
      <c r="C96" s="60">
        <v>411400</v>
      </c>
      <c r="D96" s="67" t="s">
        <v>300</v>
      </c>
      <c r="E96" s="145">
        <v>100000</v>
      </c>
      <c r="F96" s="145">
        <v>100000</v>
      </c>
      <c r="G96" s="139">
        <f t="shared" si="10"/>
        <v>100</v>
      </c>
      <c r="H96" s="206">
        <f t="shared" si="11"/>
        <v>0.32819166393173616</v>
      </c>
      <c r="I96" s="6"/>
      <c r="J96" s="145">
        <v>180000</v>
      </c>
      <c r="K96" s="145"/>
    </row>
    <row r="97" spans="1:11" ht="14.25" customHeight="1">
      <c r="A97" s="120"/>
      <c r="B97" s="47">
        <v>412000</v>
      </c>
      <c r="C97" s="60"/>
      <c r="D97" s="134" t="s">
        <v>117</v>
      </c>
      <c r="E97" s="174">
        <f>SUM(E98:E101)</f>
        <v>13000</v>
      </c>
      <c r="F97" s="136">
        <f>SUM(F98:F101)</f>
        <v>13000</v>
      </c>
      <c r="G97" s="136">
        <f t="shared" si="10"/>
        <v>100</v>
      </c>
      <c r="H97" s="137">
        <f t="shared" si="11"/>
        <v>0.04266491631112569</v>
      </c>
      <c r="I97" s="6"/>
      <c r="J97" s="174">
        <f>SUM(J98:J101)</f>
        <v>13000</v>
      </c>
      <c r="K97" s="174">
        <f>SUM(K98:K101)</f>
        <v>0</v>
      </c>
    </row>
    <row r="98" spans="1:11" ht="12.75" customHeight="1">
      <c r="A98" s="120" t="s">
        <v>22</v>
      </c>
      <c r="B98" s="123"/>
      <c r="C98" s="60">
        <v>412700</v>
      </c>
      <c r="D98" s="123" t="s">
        <v>104</v>
      </c>
      <c r="E98" s="143">
        <v>7600</v>
      </c>
      <c r="F98" s="143">
        <v>7600</v>
      </c>
      <c r="G98" s="139">
        <f t="shared" si="10"/>
        <v>100</v>
      </c>
      <c r="H98" s="206">
        <f t="shared" si="11"/>
        <v>0.024942566458811946</v>
      </c>
      <c r="I98" s="6"/>
      <c r="J98" s="143">
        <v>7600</v>
      </c>
      <c r="K98" s="143"/>
    </row>
    <row r="99" spans="1:11" ht="12.75" customHeight="1">
      <c r="A99" s="120" t="s">
        <v>22</v>
      </c>
      <c r="B99" s="123"/>
      <c r="C99" s="60">
        <v>412900</v>
      </c>
      <c r="D99" s="82" t="s">
        <v>0</v>
      </c>
      <c r="E99" s="143">
        <v>400</v>
      </c>
      <c r="F99" s="143">
        <v>400</v>
      </c>
      <c r="G99" s="139">
        <f t="shared" si="10"/>
        <v>100</v>
      </c>
      <c r="H99" s="206">
        <f t="shared" si="11"/>
        <v>0.0013127666557269445</v>
      </c>
      <c r="I99" s="6"/>
      <c r="J99" s="143">
        <v>400</v>
      </c>
      <c r="K99" s="143"/>
    </row>
    <row r="100" spans="1:11" ht="12.75" customHeight="1">
      <c r="A100" s="120" t="s">
        <v>22</v>
      </c>
      <c r="B100" s="123"/>
      <c r="C100" s="60">
        <v>412900</v>
      </c>
      <c r="D100" s="82" t="s">
        <v>139</v>
      </c>
      <c r="E100" s="143">
        <v>5000</v>
      </c>
      <c r="F100" s="143">
        <v>5000</v>
      </c>
      <c r="G100" s="139">
        <f t="shared" si="10"/>
        <v>100</v>
      </c>
      <c r="H100" s="206">
        <f t="shared" si="11"/>
        <v>0.016409583196586804</v>
      </c>
      <c r="I100" s="6"/>
      <c r="J100" s="143">
        <v>5000</v>
      </c>
      <c r="K100" s="143"/>
    </row>
    <row r="101" spans="1:11" ht="12.75" customHeight="1" hidden="1">
      <c r="A101" s="120" t="s">
        <v>22</v>
      </c>
      <c r="B101" s="123"/>
      <c r="C101" s="60">
        <v>412900</v>
      </c>
      <c r="D101" s="82" t="s">
        <v>126</v>
      </c>
      <c r="E101" s="143">
        <v>0</v>
      </c>
      <c r="F101" s="143"/>
      <c r="G101" s="139">
        <f t="shared" si="10"/>
        <v>0</v>
      </c>
      <c r="H101" s="206">
        <f t="shared" si="11"/>
        <v>0</v>
      </c>
      <c r="I101" s="6"/>
      <c r="J101" s="143">
        <v>0</v>
      </c>
      <c r="K101" s="143"/>
    </row>
    <row r="102" spans="1:11" ht="25.5">
      <c r="A102" s="120"/>
      <c r="B102" s="47">
        <v>418000</v>
      </c>
      <c r="C102" s="60"/>
      <c r="D102" s="134" t="s">
        <v>617</v>
      </c>
      <c r="E102" s="174">
        <f>SUM(E103)</f>
        <v>8000</v>
      </c>
      <c r="F102" s="136">
        <f>SUM(F103)</f>
        <v>9000</v>
      </c>
      <c r="G102" s="136">
        <f t="shared" si="10"/>
        <v>112.5</v>
      </c>
      <c r="H102" s="137">
        <f t="shared" si="11"/>
        <v>0.02953724975385625</v>
      </c>
      <c r="I102" s="6"/>
      <c r="J102" s="174">
        <f>SUM(J103)</f>
        <v>8000</v>
      </c>
      <c r="K102" s="174">
        <f>SUM(K103)</f>
        <v>0</v>
      </c>
    </row>
    <row r="103" spans="1:11" ht="12" customHeight="1">
      <c r="A103" s="120" t="s">
        <v>22</v>
      </c>
      <c r="B103" s="123"/>
      <c r="C103" s="60">
        <v>418200</v>
      </c>
      <c r="D103" s="82" t="s">
        <v>140</v>
      </c>
      <c r="E103" s="145">
        <v>8000</v>
      </c>
      <c r="F103" s="145">
        <v>9000</v>
      </c>
      <c r="G103" s="139">
        <f t="shared" si="10"/>
        <v>112.5</v>
      </c>
      <c r="H103" s="206">
        <f t="shared" si="11"/>
        <v>0.02953724975385625</v>
      </c>
      <c r="I103" s="6"/>
      <c r="J103" s="145">
        <v>8000</v>
      </c>
      <c r="K103" s="145"/>
    </row>
    <row r="104" spans="1:11" ht="15" customHeight="1">
      <c r="A104" s="127"/>
      <c r="B104" s="47">
        <v>638000</v>
      </c>
      <c r="C104" s="60"/>
      <c r="D104" s="134" t="s">
        <v>301</v>
      </c>
      <c r="E104" s="174">
        <f>SUM(E105)</f>
        <v>190000</v>
      </c>
      <c r="F104" s="136">
        <f>SUM(F105)</f>
        <v>200000</v>
      </c>
      <c r="G104" s="136">
        <f t="shared" si="10"/>
        <v>105.26315789473684</v>
      </c>
      <c r="H104" s="137">
        <f t="shared" si="11"/>
        <v>0.6563833278634723</v>
      </c>
      <c r="I104" s="6"/>
      <c r="J104" s="174">
        <f>SUM(J105)</f>
        <v>180000</v>
      </c>
      <c r="K104" s="174">
        <f>SUM(K105)</f>
        <v>0</v>
      </c>
    </row>
    <row r="105" spans="1:11" ht="24" customHeight="1">
      <c r="A105" s="120"/>
      <c r="B105" s="123"/>
      <c r="C105" s="60">
        <v>638100</v>
      </c>
      <c r="D105" s="82" t="s">
        <v>302</v>
      </c>
      <c r="E105" s="145">
        <v>190000</v>
      </c>
      <c r="F105" s="145">
        <v>200000</v>
      </c>
      <c r="G105" s="139">
        <f t="shared" si="10"/>
        <v>105.26315789473684</v>
      </c>
      <c r="H105" s="206">
        <f t="shared" si="11"/>
        <v>0.6563833278634723</v>
      </c>
      <c r="I105" s="312"/>
      <c r="J105" s="145">
        <v>180000</v>
      </c>
      <c r="K105" s="145"/>
    </row>
    <row r="106" spans="1:11" ht="24" customHeight="1">
      <c r="A106" s="522"/>
      <c r="B106" s="523"/>
      <c r="C106" s="524" t="s">
        <v>76</v>
      </c>
      <c r="D106" s="525"/>
      <c r="E106" s="158">
        <f>E92+E97+E102+E104</f>
        <v>4854000</v>
      </c>
      <c r="F106" s="439">
        <f>F92+F97+F102+F104</f>
        <v>4961000</v>
      </c>
      <c r="G106" s="359">
        <f t="shared" si="10"/>
        <v>102.20436753193243</v>
      </c>
      <c r="H106" s="387">
        <f t="shared" si="11"/>
        <v>16.28158844765343</v>
      </c>
      <c r="I106" s="17"/>
      <c r="J106" s="158">
        <f>J92+J97+J102+J104</f>
        <v>5029000</v>
      </c>
      <c r="K106" s="440">
        <f>K92+K97+K102+K104</f>
        <v>0</v>
      </c>
    </row>
    <row r="107" spans="1:11" ht="9.75" customHeight="1">
      <c r="A107" s="520"/>
      <c r="B107" s="521"/>
      <c r="C107" s="526" t="s">
        <v>503</v>
      </c>
      <c r="D107" s="526"/>
      <c r="E107" s="188"/>
      <c r="F107" s="188"/>
      <c r="G107" s="188"/>
      <c r="H107" s="189"/>
      <c r="I107" s="17"/>
      <c r="J107" s="188"/>
      <c r="K107" s="188"/>
    </row>
    <row r="108" spans="1:11" ht="9.75" customHeight="1">
      <c r="A108" s="520"/>
      <c r="B108" s="521"/>
      <c r="C108" s="526"/>
      <c r="D108" s="526"/>
      <c r="E108" s="401"/>
      <c r="F108" s="401"/>
      <c r="G108" s="190"/>
      <c r="H108" s="191"/>
      <c r="I108" s="17"/>
      <c r="J108" s="401"/>
      <c r="K108" s="401"/>
    </row>
    <row r="109" spans="1:11" ht="9.75" customHeight="1">
      <c r="A109" s="520"/>
      <c r="B109" s="521"/>
      <c r="C109" s="526"/>
      <c r="D109" s="526"/>
      <c r="E109" s="190"/>
      <c r="F109" s="190"/>
      <c r="G109" s="190"/>
      <c r="H109" s="191"/>
      <c r="I109" s="17"/>
      <c r="J109" s="190"/>
      <c r="K109" s="190"/>
    </row>
    <row r="110" spans="1:11" ht="14.25" customHeight="1">
      <c r="A110" s="520"/>
      <c r="B110" s="521"/>
      <c r="C110" s="526"/>
      <c r="D110" s="526"/>
      <c r="E110" s="192"/>
      <c r="F110" s="192"/>
      <c r="G110" s="192"/>
      <c r="H110" s="193"/>
      <c r="I110" s="17"/>
      <c r="J110" s="192"/>
      <c r="K110" s="192"/>
    </row>
    <row r="111" spans="1:11" ht="14.25" customHeight="1">
      <c r="A111" s="120"/>
      <c r="B111" s="47">
        <v>412000</v>
      </c>
      <c r="C111" s="60"/>
      <c r="D111" s="134" t="s">
        <v>117</v>
      </c>
      <c r="E111" s="136">
        <f>SUM(E112:E115)</f>
        <v>60500</v>
      </c>
      <c r="F111" s="136">
        <f>SUM(F112:F115)</f>
        <v>72500</v>
      </c>
      <c r="G111" s="136">
        <f aca="true" t="shared" si="12" ref="G111:G168">IF(E111&gt;0,F111/E111*100,0)</f>
        <v>119.83471074380165</v>
      </c>
      <c r="H111" s="137">
        <f aca="true" t="shared" si="13" ref="H111:H142">F111/$F$587*100</f>
        <v>0.23793895635050868</v>
      </c>
      <c r="I111" s="17"/>
      <c r="J111" s="174">
        <f>SUM(J112:J115)</f>
        <v>60420</v>
      </c>
      <c r="K111" s="174">
        <f>SUM(K112:K115)</f>
        <v>0</v>
      </c>
    </row>
    <row r="112" spans="1:11" ht="13.5" customHeight="1">
      <c r="A112" s="120" t="s">
        <v>22</v>
      </c>
      <c r="B112" s="53"/>
      <c r="C112" s="123">
        <v>412700</v>
      </c>
      <c r="D112" s="82" t="s">
        <v>94</v>
      </c>
      <c r="E112" s="187">
        <v>57100</v>
      </c>
      <c r="F112" s="187">
        <v>57100</v>
      </c>
      <c r="G112" s="139">
        <f t="shared" si="12"/>
        <v>100</v>
      </c>
      <c r="H112" s="206">
        <f t="shared" si="13"/>
        <v>0.18739744010502132</v>
      </c>
      <c r="I112" s="6"/>
      <c r="J112" s="145">
        <v>57020</v>
      </c>
      <c r="K112" s="145"/>
    </row>
    <row r="113" spans="1:11" ht="16.5" customHeight="1">
      <c r="A113" s="120" t="s">
        <v>31</v>
      </c>
      <c r="B113" s="53"/>
      <c r="C113" s="123">
        <v>412700</v>
      </c>
      <c r="D113" s="82" t="s">
        <v>390</v>
      </c>
      <c r="E113" s="143">
        <v>3000</v>
      </c>
      <c r="F113" s="143">
        <v>3000</v>
      </c>
      <c r="G113" s="139">
        <f t="shared" si="12"/>
        <v>100</v>
      </c>
      <c r="H113" s="206">
        <f t="shared" si="13"/>
        <v>0.009845749917952083</v>
      </c>
      <c r="I113" s="6"/>
      <c r="J113" s="143">
        <v>3000</v>
      </c>
      <c r="K113" s="143"/>
    </row>
    <row r="114" spans="1:11" ht="16.5" customHeight="1">
      <c r="A114" s="120" t="s">
        <v>31</v>
      </c>
      <c r="B114" s="53"/>
      <c r="C114" s="123">
        <v>412700</v>
      </c>
      <c r="D114" s="82" t="s">
        <v>98</v>
      </c>
      <c r="E114" s="143">
        <v>0</v>
      </c>
      <c r="F114" s="143">
        <v>12000</v>
      </c>
      <c r="G114" s="139">
        <f>IF(E114&gt;0,F114/E114*100,0)</f>
        <v>0</v>
      </c>
      <c r="H114" s="206">
        <f t="shared" si="13"/>
        <v>0.03938299967180833</v>
      </c>
      <c r="I114" s="6"/>
      <c r="J114" s="143"/>
      <c r="K114" s="143"/>
    </row>
    <row r="115" spans="1:11" ht="12.75" customHeight="1">
      <c r="A115" s="120" t="s">
        <v>22</v>
      </c>
      <c r="B115" s="123"/>
      <c r="C115" s="60">
        <v>412900</v>
      </c>
      <c r="D115" s="82" t="s">
        <v>23</v>
      </c>
      <c r="E115" s="143">
        <v>400</v>
      </c>
      <c r="F115" s="143">
        <v>400</v>
      </c>
      <c r="G115" s="139">
        <f t="shared" si="12"/>
        <v>100</v>
      </c>
      <c r="H115" s="206">
        <f t="shared" si="13"/>
        <v>0.0013127666557269445</v>
      </c>
      <c r="I115" s="6"/>
      <c r="J115" s="143">
        <v>400</v>
      </c>
      <c r="K115" s="143"/>
    </row>
    <row r="116" spans="1:11" ht="12.75" customHeight="1" hidden="1">
      <c r="A116" s="120"/>
      <c r="B116" s="47">
        <v>414000</v>
      </c>
      <c r="C116" s="60"/>
      <c r="D116" s="134" t="s">
        <v>168</v>
      </c>
      <c r="E116" s="136">
        <f>SUM(E117:E117)</f>
        <v>0</v>
      </c>
      <c r="F116" s="136">
        <f>SUM(F117:F117)</f>
        <v>0</v>
      </c>
      <c r="G116" s="136">
        <f t="shared" si="12"/>
        <v>0</v>
      </c>
      <c r="H116" s="137">
        <f t="shared" si="13"/>
        <v>0</v>
      </c>
      <c r="I116" s="6"/>
      <c r="J116" s="136">
        <f>SUM(J117:J117)</f>
        <v>0</v>
      </c>
      <c r="K116" s="136">
        <f>SUM(K117:K117)</f>
        <v>0</v>
      </c>
    </row>
    <row r="117" spans="1:11" ht="12.75" customHeight="1" hidden="1">
      <c r="A117" s="120" t="s">
        <v>375</v>
      </c>
      <c r="B117" s="123"/>
      <c r="C117" s="60">
        <v>414100</v>
      </c>
      <c r="D117" s="82" t="s">
        <v>420</v>
      </c>
      <c r="E117" s="143">
        <v>0</v>
      </c>
      <c r="F117" s="143">
        <v>0</v>
      </c>
      <c r="G117" s="136">
        <f t="shared" si="12"/>
        <v>0</v>
      </c>
      <c r="H117" s="137">
        <f t="shared" si="13"/>
        <v>0</v>
      </c>
      <c r="I117" s="6"/>
      <c r="J117" s="143">
        <v>0</v>
      </c>
      <c r="K117" s="143">
        <v>0</v>
      </c>
    </row>
    <row r="118" spans="1:11" ht="14.25" customHeight="1">
      <c r="A118" s="120"/>
      <c r="B118" s="47">
        <v>415000</v>
      </c>
      <c r="C118" s="123"/>
      <c r="D118" s="134" t="s">
        <v>131</v>
      </c>
      <c r="E118" s="174">
        <f>SUM(E119:E151)</f>
        <v>1226500</v>
      </c>
      <c r="F118" s="136">
        <f>SUM(F119:F151)</f>
        <v>1142500</v>
      </c>
      <c r="G118" s="136">
        <f t="shared" si="12"/>
        <v>93.15124337545862</v>
      </c>
      <c r="H118" s="137">
        <f t="shared" si="13"/>
        <v>3.7495897604200854</v>
      </c>
      <c r="I118" s="6"/>
      <c r="J118" s="174">
        <f>SUM(J119:J151)</f>
        <v>981290</v>
      </c>
      <c r="K118" s="174">
        <f>SUM(K119:K151)</f>
        <v>10000</v>
      </c>
    </row>
    <row r="119" spans="1:11" ht="12.75" customHeight="1">
      <c r="A119" s="120" t="s">
        <v>25</v>
      </c>
      <c r="B119" s="123"/>
      <c r="C119" s="60">
        <v>415200</v>
      </c>
      <c r="D119" s="116" t="s">
        <v>192</v>
      </c>
      <c r="E119" s="187">
        <v>255000</v>
      </c>
      <c r="F119" s="187">
        <v>255000</v>
      </c>
      <c r="G119" s="139">
        <f t="shared" si="12"/>
        <v>100</v>
      </c>
      <c r="H119" s="206">
        <f t="shared" si="13"/>
        <v>0.8368887430259271</v>
      </c>
      <c r="I119" s="6"/>
      <c r="J119" s="187">
        <v>75000</v>
      </c>
      <c r="K119" s="187"/>
    </row>
    <row r="120" spans="1:11" ht="12.75" customHeight="1">
      <c r="A120" s="120" t="s">
        <v>27</v>
      </c>
      <c r="B120" s="123"/>
      <c r="C120" s="60">
        <v>415200</v>
      </c>
      <c r="D120" s="82" t="s">
        <v>28</v>
      </c>
      <c r="E120" s="145">
        <v>37500</v>
      </c>
      <c r="F120" s="145">
        <v>37000</v>
      </c>
      <c r="G120" s="139">
        <f t="shared" si="12"/>
        <v>98.66666666666667</v>
      </c>
      <c r="H120" s="206">
        <f t="shared" si="13"/>
        <v>0.12143091565474237</v>
      </c>
      <c r="I120" s="6"/>
      <c r="J120" s="145">
        <v>33800</v>
      </c>
      <c r="K120" s="145"/>
    </row>
    <row r="121" spans="1:11" ht="12" customHeight="1" hidden="1">
      <c r="A121" s="120" t="s">
        <v>27</v>
      </c>
      <c r="B121" s="123"/>
      <c r="C121" s="60">
        <v>415200</v>
      </c>
      <c r="D121" s="82" t="s">
        <v>424</v>
      </c>
      <c r="E121" s="145">
        <v>0</v>
      </c>
      <c r="F121" s="145"/>
      <c r="G121" s="139">
        <f t="shared" si="12"/>
        <v>0</v>
      </c>
      <c r="H121" s="206">
        <f t="shared" si="13"/>
        <v>0</v>
      </c>
      <c r="I121" s="6"/>
      <c r="J121" s="145">
        <v>0</v>
      </c>
      <c r="K121" s="145"/>
    </row>
    <row r="122" spans="1:11" ht="12.75" customHeight="1">
      <c r="A122" s="120" t="s">
        <v>29</v>
      </c>
      <c r="B122" s="123"/>
      <c r="C122" s="60">
        <v>415200</v>
      </c>
      <c r="D122" s="87" t="s">
        <v>226</v>
      </c>
      <c r="E122" s="187">
        <v>400000</v>
      </c>
      <c r="F122" s="145">
        <v>420000</v>
      </c>
      <c r="G122" s="139">
        <f t="shared" si="12"/>
        <v>105</v>
      </c>
      <c r="H122" s="206">
        <f t="shared" si="13"/>
        <v>1.3784049885132919</v>
      </c>
      <c r="I122" s="6"/>
      <c r="J122" s="187">
        <v>360000</v>
      </c>
      <c r="K122" s="187"/>
    </row>
    <row r="123" spans="1:11" ht="14.25" customHeight="1" hidden="1">
      <c r="A123" s="120" t="s">
        <v>29</v>
      </c>
      <c r="B123" s="123"/>
      <c r="C123" s="60">
        <v>415200</v>
      </c>
      <c r="D123" s="87" t="s">
        <v>425</v>
      </c>
      <c r="E123" s="145">
        <v>0</v>
      </c>
      <c r="F123" s="145"/>
      <c r="G123" s="139">
        <f t="shared" si="12"/>
        <v>0</v>
      </c>
      <c r="H123" s="206">
        <f t="shared" si="13"/>
        <v>0</v>
      </c>
      <c r="I123" s="6"/>
      <c r="J123" s="145">
        <v>0</v>
      </c>
      <c r="K123" s="145"/>
    </row>
    <row r="124" spans="1:11" ht="15" customHeight="1">
      <c r="A124" s="120" t="s">
        <v>30</v>
      </c>
      <c r="B124" s="123"/>
      <c r="C124" s="60">
        <v>415200</v>
      </c>
      <c r="D124" s="82" t="s">
        <v>105</v>
      </c>
      <c r="E124" s="145">
        <v>50000</v>
      </c>
      <c r="F124" s="145">
        <v>47000</v>
      </c>
      <c r="G124" s="139">
        <f t="shared" si="12"/>
        <v>94</v>
      </c>
      <c r="H124" s="206">
        <f t="shared" si="13"/>
        <v>0.154250082047916</v>
      </c>
      <c r="I124" s="6"/>
      <c r="J124" s="145">
        <v>55500</v>
      </c>
      <c r="K124" s="145"/>
    </row>
    <row r="125" spans="1:11" ht="26.25" customHeight="1" hidden="1">
      <c r="A125" s="120" t="s">
        <v>30</v>
      </c>
      <c r="B125" s="123"/>
      <c r="C125" s="60">
        <v>415200</v>
      </c>
      <c r="D125" s="82" t="s">
        <v>426</v>
      </c>
      <c r="E125" s="145">
        <v>0</v>
      </c>
      <c r="F125" s="145"/>
      <c r="G125" s="139">
        <f t="shared" si="12"/>
        <v>0</v>
      </c>
      <c r="H125" s="206">
        <f t="shared" si="13"/>
        <v>0</v>
      </c>
      <c r="I125" s="6"/>
      <c r="J125" s="145">
        <v>0</v>
      </c>
      <c r="K125" s="145"/>
    </row>
    <row r="126" spans="1:11" ht="13.5" customHeight="1">
      <c r="A126" s="122" t="s">
        <v>27</v>
      </c>
      <c r="B126" s="123"/>
      <c r="C126" s="60">
        <v>415200</v>
      </c>
      <c r="D126" s="82" t="s">
        <v>321</v>
      </c>
      <c r="E126" s="145">
        <v>6000</v>
      </c>
      <c r="F126" s="145">
        <v>6000</v>
      </c>
      <c r="G126" s="139">
        <f t="shared" si="12"/>
        <v>100</v>
      </c>
      <c r="H126" s="206">
        <f t="shared" si="13"/>
        <v>0.019691499835904167</v>
      </c>
      <c r="I126" s="6"/>
      <c r="J126" s="145">
        <v>6000</v>
      </c>
      <c r="K126" s="145"/>
    </row>
    <row r="127" spans="1:11" ht="13.5" customHeight="1" hidden="1">
      <c r="A127" s="122" t="s">
        <v>27</v>
      </c>
      <c r="B127" s="123"/>
      <c r="C127" s="60">
        <v>415200</v>
      </c>
      <c r="D127" s="82" t="s">
        <v>427</v>
      </c>
      <c r="E127" s="145">
        <v>0</v>
      </c>
      <c r="F127" s="145"/>
      <c r="G127" s="139">
        <f t="shared" si="12"/>
        <v>0</v>
      </c>
      <c r="H127" s="206">
        <f t="shared" si="13"/>
        <v>0</v>
      </c>
      <c r="I127" s="6"/>
      <c r="J127" s="145">
        <v>0</v>
      </c>
      <c r="K127" s="145"/>
    </row>
    <row r="128" spans="1:11" ht="12.75">
      <c r="A128" s="122" t="s">
        <v>27</v>
      </c>
      <c r="B128" s="123"/>
      <c r="C128" s="60">
        <v>415200</v>
      </c>
      <c r="D128" s="82" t="s">
        <v>657</v>
      </c>
      <c r="E128" s="145">
        <v>11000</v>
      </c>
      <c r="F128" s="145">
        <v>11000</v>
      </c>
      <c r="G128" s="139">
        <f t="shared" si="12"/>
        <v>100</v>
      </c>
      <c r="H128" s="206">
        <f t="shared" si="13"/>
        <v>0.036101083032490974</v>
      </c>
      <c r="I128" s="6"/>
      <c r="J128" s="145">
        <v>9000</v>
      </c>
      <c r="K128" s="145"/>
    </row>
    <row r="129" spans="1:11" ht="25.5" hidden="1">
      <c r="A129" s="122" t="s">
        <v>27</v>
      </c>
      <c r="B129" s="123"/>
      <c r="C129" s="60">
        <v>415200</v>
      </c>
      <c r="D129" s="82" t="s">
        <v>542</v>
      </c>
      <c r="E129" s="145">
        <v>0</v>
      </c>
      <c r="F129" s="145"/>
      <c r="G129" s="139">
        <f t="shared" si="12"/>
        <v>0</v>
      </c>
      <c r="H129" s="206">
        <f t="shared" si="13"/>
        <v>0</v>
      </c>
      <c r="I129" s="6"/>
      <c r="J129" s="145">
        <v>0</v>
      </c>
      <c r="K129" s="145"/>
    </row>
    <row r="130" spans="1:11" ht="13.5" customHeight="1">
      <c r="A130" s="122" t="s">
        <v>323</v>
      </c>
      <c r="B130" s="123"/>
      <c r="C130" s="60">
        <v>415200</v>
      </c>
      <c r="D130" s="82" t="s">
        <v>322</v>
      </c>
      <c r="E130" s="145">
        <v>6000</v>
      </c>
      <c r="F130" s="145">
        <v>6000</v>
      </c>
      <c r="G130" s="139">
        <f t="shared" si="12"/>
        <v>100</v>
      </c>
      <c r="H130" s="206">
        <f t="shared" si="13"/>
        <v>0.019691499835904167</v>
      </c>
      <c r="I130" s="6"/>
      <c r="J130" s="145">
        <v>6000</v>
      </c>
      <c r="K130" s="145"/>
    </row>
    <row r="131" spans="1:11" ht="12.75" customHeight="1">
      <c r="A131" s="120" t="s">
        <v>30</v>
      </c>
      <c r="B131" s="123"/>
      <c r="C131" s="60">
        <v>415200</v>
      </c>
      <c r="D131" s="82" t="s">
        <v>106</v>
      </c>
      <c r="E131" s="145">
        <v>25000</v>
      </c>
      <c r="F131" s="145">
        <v>25000</v>
      </c>
      <c r="G131" s="139">
        <f t="shared" si="12"/>
        <v>100</v>
      </c>
      <c r="H131" s="206">
        <f t="shared" si="13"/>
        <v>0.08204791598293404</v>
      </c>
      <c r="I131" s="6"/>
      <c r="J131" s="145">
        <v>25000</v>
      </c>
      <c r="K131" s="145"/>
    </row>
    <row r="132" spans="1:11" ht="13.5" customHeight="1" hidden="1">
      <c r="A132" s="120" t="s">
        <v>30</v>
      </c>
      <c r="B132" s="123"/>
      <c r="C132" s="60">
        <v>415200</v>
      </c>
      <c r="D132" s="82" t="s">
        <v>428</v>
      </c>
      <c r="E132" s="145">
        <v>0</v>
      </c>
      <c r="F132" s="145"/>
      <c r="G132" s="139">
        <f t="shared" si="12"/>
        <v>0</v>
      </c>
      <c r="H132" s="206">
        <f t="shared" si="13"/>
        <v>0</v>
      </c>
      <c r="I132" s="6"/>
      <c r="J132" s="145">
        <v>0</v>
      </c>
      <c r="K132" s="145"/>
    </row>
    <row r="133" spans="1:11" ht="25.5">
      <c r="A133" s="120" t="s">
        <v>30</v>
      </c>
      <c r="B133" s="123"/>
      <c r="C133" s="60">
        <v>415200</v>
      </c>
      <c r="D133" s="82" t="s">
        <v>257</v>
      </c>
      <c r="E133" s="145">
        <v>5000</v>
      </c>
      <c r="F133" s="145">
        <v>5000</v>
      </c>
      <c r="G133" s="139">
        <f t="shared" si="12"/>
        <v>100</v>
      </c>
      <c r="H133" s="206">
        <f t="shared" si="13"/>
        <v>0.016409583196586804</v>
      </c>
      <c r="I133" s="6"/>
      <c r="J133" s="145">
        <v>5000</v>
      </c>
      <c r="K133" s="145"/>
    </row>
    <row r="134" spans="1:11" ht="26.25" customHeight="1" hidden="1">
      <c r="A134" s="120" t="s">
        <v>30</v>
      </c>
      <c r="B134" s="123"/>
      <c r="C134" s="60">
        <v>415200</v>
      </c>
      <c r="D134" s="82" t="s">
        <v>541</v>
      </c>
      <c r="E134" s="145">
        <v>0</v>
      </c>
      <c r="F134" s="145"/>
      <c r="G134" s="139">
        <f t="shared" si="12"/>
        <v>0</v>
      </c>
      <c r="H134" s="206">
        <f t="shared" si="13"/>
        <v>0</v>
      </c>
      <c r="I134" s="6"/>
      <c r="J134" s="145">
        <v>0</v>
      </c>
      <c r="K134" s="145"/>
    </row>
    <row r="135" spans="1:11" ht="13.5" customHeight="1">
      <c r="A135" s="120" t="s">
        <v>27</v>
      </c>
      <c r="B135" s="123"/>
      <c r="C135" s="60">
        <v>415200</v>
      </c>
      <c r="D135" s="82" t="s">
        <v>398</v>
      </c>
      <c r="E135" s="145">
        <v>1500</v>
      </c>
      <c r="F135" s="145">
        <v>1500</v>
      </c>
      <c r="G135" s="139">
        <f t="shared" si="12"/>
        <v>100</v>
      </c>
      <c r="H135" s="206">
        <f t="shared" si="13"/>
        <v>0.004922874958976042</v>
      </c>
      <c r="I135" s="6"/>
      <c r="J135" s="145">
        <v>1500</v>
      </c>
      <c r="K135" s="145"/>
    </row>
    <row r="136" spans="1:11" ht="12.75" customHeight="1">
      <c r="A136" s="120" t="s">
        <v>30</v>
      </c>
      <c r="B136" s="123"/>
      <c r="C136" s="60">
        <v>415200</v>
      </c>
      <c r="D136" s="82" t="s">
        <v>90</v>
      </c>
      <c r="E136" s="145">
        <v>30000</v>
      </c>
      <c r="F136" s="145">
        <v>30000</v>
      </c>
      <c r="G136" s="139">
        <f t="shared" si="12"/>
        <v>100</v>
      </c>
      <c r="H136" s="206">
        <f t="shared" si="13"/>
        <v>0.09845749917952085</v>
      </c>
      <c r="I136" s="6"/>
      <c r="J136" s="145">
        <v>30000</v>
      </c>
      <c r="K136" s="145"/>
    </row>
    <row r="137" spans="1:11" ht="12.75" customHeight="1" hidden="1">
      <c r="A137" s="120" t="s">
        <v>30</v>
      </c>
      <c r="B137" s="123"/>
      <c r="C137" s="60">
        <v>415200</v>
      </c>
      <c r="D137" s="82" t="s">
        <v>581</v>
      </c>
      <c r="E137" s="145">
        <v>0</v>
      </c>
      <c r="F137" s="145"/>
      <c r="G137" s="139">
        <f t="shared" si="12"/>
        <v>0</v>
      </c>
      <c r="H137" s="206">
        <f t="shared" si="13"/>
        <v>0</v>
      </c>
      <c r="I137" s="6"/>
      <c r="J137" s="145"/>
      <c r="K137" s="145"/>
    </row>
    <row r="138" spans="1:11" ht="15.75" customHeight="1">
      <c r="A138" s="120" t="s">
        <v>155</v>
      </c>
      <c r="B138" s="123"/>
      <c r="C138" s="60">
        <v>415200</v>
      </c>
      <c r="D138" s="82" t="s">
        <v>578</v>
      </c>
      <c r="E138" s="145">
        <v>10000</v>
      </c>
      <c r="F138" s="145">
        <v>10000</v>
      </c>
      <c r="G138" s="139">
        <f t="shared" si="12"/>
        <v>100</v>
      </c>
      <c r="H138" s="206">
        <f t="shared" si="13"/>
        <v>0.03281916639317361</v>
      </c>
      <c r="I138" s="6"/>
      <c r="J138" s="145">
        <v>0</v>
      </c>
      <c r="K138" s="145">
        <v>10000</v>
      </c>
    </row>
    <row r="139" spans="1:11" ht="14.25" customHeight="1">
      <c r="A139" s="120" t="s">
        <v>41</v>
      </c>
      <c r="B139" s="47"/>
      <c r="C139" s="60">
        <v>415200</v>
      </c>
      <c r="D139" s="69" t="s">
        <v>182</v>
      </c>
      <c r="E139" s="187">
        <v>150000</v>
      </c>
      <c r="F139" s="145">
        <v>58000</v>
      </c>
      <c r="G139" s="139">
        <f t="shared" si="12"/>
        <v>38.666666666666664</v>
      </c>
      <c r="H139" s="206">
        <f t="shared" si="13"/>
        <v>0.19035116508040695</v>
      </c>
      <c r="I139" s="6"/>
      <c r="J139" s="187">
        <v>150000</v>
      </c>
      <c r="K139" s="187"/>
    </row>
    <row r="140" spans="1:11" ht="26.25" customHeight="1" hidden="1">
      <c r="A140" s="120" t="s">
        <v>41</v>
      </c>
      <c r="B140" s="47"/>
      <c r="C140" s="60">
        <v>415200</v>
      </c>
      <c r="D140" s="87" t="s">
        <v>429</v>
      </c>
      <c r="E140" s="145">
        <v>0</v>
      </c>
      <c r="F140" s="145"/>
      <c r="G140" s="139">
        <f t="shared" si="12"/>
        <v>0</v>
      </c>
      <c r="H140" s="206">
        <f t="shared" si="13"/>
        <v>0</v>
      </c>
      <c r="I140" s="6"/>
      <c r="J140" s="145">
        <v>0</v>
      </c>
      <c r="K140" s="145"/>
    </row>
    <row r="141" spans="1:11" ht="12.75">
      <c r="A141" s="122" t="s">
        <v>382</v>
      </c>
      <c r="B141" s="194"/>
      <c r="C141" s="196">
        <v>415200</v>
      </c>
      <c r="D141" s="87" t="s">
        <v>524</v>
      </c>
      <c r="E141" s="145">
        <v>45000</v>
      </c>
      <c r="F141" s="145">
        <v>45000</v>
      </c>
      <c r="G141" s="139">
        <f t="shared" si="12"/>
        <v>100</v>
      </c>
      <c r="H141" s="206">
        <f t="shared" si="13"/>
        <v>0.14768624876928127</v>
      </c>
      <c r="I141" s="6"/>
      <c r="J141" s="145">
        <v>20000</v>
      </c>
      <c r="K141" s="145"/>
    </row>
    <row r="142" spans="1:11" ht="26.25" customHeight="1">
      <c r="A142" s="122" t="s">
        <v>27</v>
      </c>
      <c r="B142" s="194"/>
      <c r="C142" s="90">
        <v>415200</v>
      </c>
      <c r="D142" s="87" t="s">
        <v>199</v>
      </c>
      <c r="E142" s="145">
        <v>70000</v>
      </c>
      <c r="F142" s="145">
        <v>70000</v>
      </c>
      <c r="G142" s="139">
        <f t="shared" si="12"/>
        <v>100</v>
      </c>
      <c r="H142" s="206">
        <f t="shared" si="13"/>
        <v>0.2297341647522153</v>
      </c>
      <c r="I142" s="6"/>
      <c r="J142" s="145">
        <v>60000</v>
      </c>
      <c r="K142" s="145"/>
    </row>
    <row r="143" spans="1:11" ht="0.75" customHeight="1" hidden="1">
      <c r="A143" s="122" t="s">
        <v>27</v>
      </c>
      <c r="B143" s="194"/>
      <c r="C143" s="90">
        <v>415200</v>
      </c>
      <c r="D143" s="87" t="s">
        <v>430</v>
      </c>
      <c r="E143" s="145"/>
      <c r="F143" s="145"/>
      <c r="G143" s="139">
        <f t="shared" si="12"/>
        <v>0</v>
      </c>
      <c r="H143" s="206">
        <f aca="true" t="shared" si="14" ref="H143:H168">F143/$F$587*100</f>
        <v>0</v>
      </c>
      <c r="I143" s="6"/>
      <c r="J143" s="145"/>
      <c r="K143" s="145"/>
    </row>
    <row r="144" spans="1:11" ht="16.5" customHeight="1" hidden="1">
      <c r="A144" s="120" t="s">
        <v>32</v>
      </c>
      <c r="B144" s="123"/>
      <c r="C144" s="60">
        <v>415200</v>
      </c>
      <c r="D144" s="82" t="s">
        <v>431</v>
      </c>
      <c r="E144" s="145"/>
      <c r="F144" s="145"/>
      <c r="G144" s="139">
        <f t="shared" si="12"/>
        <v>0</v>
      </c>
      <c r="H144" s="206">
        <f t="shared" si="14"/>
        <v>0</v>
      </c>
      <c r="I144" s="6"/>
      <c r="J144" s="145"/>
      <c r="K144" s="145"/>
    </row>
    <row r="145" spans="1:11" ht="28.5" customHeight="1">
      <c r="A145" s="240" t="s">
        <v>488</v>
      </c>
      <c r="B145" s="123"/>
      <c r="C145" s="196">
        <v>415200</v>
      </c>
      <c r="D145" s="82" t="s">
        <v>487</v>
      </c>
      <c r="E145" s="145">
        <v>10000</v>
      </c>
      <c r="F145" s="145">
        <v>6000</v>
      </c>
      <c r="G145" s="139">
        <f t="shared" si="12"/>
        <v>60</v>
      </c>
      <c r="H145" s="206">
        <f t="shared" si="14"/>
        <v>0.019691499835904167</v>
      </c>
      <c r="I145" s="6"/>
      <c r="J145" s="145">
        <v>10000</v>
      </c>
      <c r="K145" s="145"/>
    </row>
    <row r="146" spans="1:11" ht="38.25">
      <c r="A146" s="120" t="s">
        <v>156</v>
      </c>
      <c r="B146" s="121"/>
      <c r="C146" s="60">
        <v>415200</v>
      </c>
      <c r="D146" s="116" t="s">
        <v>658</v>
      </c>
      <c r="E146" s="145">
        <v>27000</v>
      </c>
      <c r="F146" s="145">
        <v>27000</v>
      </c>
      <c r="G146" s="139">
        <f t="shared" si="12"/>
        <v>100</v>
      </c>
      <c r="H146" s="206">
        <f t="shared" si="14"/>
        <v>0.08861174926156876</v>
      </c>
      <c r="I146" s="6"/>
      <c r="J146" s="145">
        <v>47610</v>
      </c>
      <c r="K146" s="145"/>
    </row>
    <row r="147" spans="1:11" ht="12.75">
      <c r="A147" s="120" t="s">
        <v>157</v>
      </c>
      <c r="B147" s="121"/>
      <c r="C147" s="60">
        <v>415200</v>
      </c>
      <c r="D147" s="116" t="s">
        <v>403</v>
      </c>
      <c r="E147" s="187">
        <v>11000</v>
      </c>
      <c r="F147" s="187">
        <v>10000</v>
      </c>
      <c r="G147" s="139">
        <f t="shared" si="12"/>
        <v>90.9090909090909</v>
      </c>
      <c r="H147" s="206">
        <f t="shared" si="14"/>
        <v>0.03281916639317361</v>
      </c>
      <c r="I147" s="6"/>
      <c r="J147" s="187">
        <v>10566</v>
      </c>
      <c r="K147" s="187"/>
    </row>
    <row r="148" spans="1:11" ht="12.75">
      <c r="A148" s="120" t="s">
        <v>157</v>
      </c>
      <c r="B148" s="121"/>
      <c r="C148" s="60">
        <v>415200</v>
      </c>
      <c r="D148" s="116" t="s">
        <v>537</v>
      </c>
      <c r="E148" s="187">
        <v>30000</v>
      </c>
      <c r="F148" s="145">
        <v>30000</v>
      </c>
      <c r="G148" s="139">
        <f t="shared" si="12"/>
        <v>100</v>
      </c>
      <c r="H148" s="206">
        <f t="shared" si="14"/>
        <v>0.09845749917952085</v>
      </c>
      <c r="I148" s="6"/>
      <c r="J148" s="187">
        <v>30000</v>
      </c>
      <c r="K148" s="187"/>
    </row>
    <row r="149" spans="1:11" ht="15" customHeight="1">
      <c r="A149" s="120" t="s">
        <v>157</v>
      </c>
      <c r="B149" s="121"/>
      <c r="C149" s="60">
        <v>415200</v>
      </c>
      <c r="D149" s="116" t="s">
        <v>443</v>
      </c>
      <c r="E149" s="145">
        <v>9500</v>
      </c>
      <c r="F149" s="145">
        <v>9000</v>
      </c>
      <c r="G149" s="139">
        <f t="shared" si="12"/>
        <v>94.73684210526315</v>
      </c>
      <c r="H149" s="206">
        <f t="shared" si="14"/>
        <v>0.02953724975385625</v>
      </c>
      <c r="I149" s="6"/>
      <c r="J149" s="145">
        <v>9434</v>
      </c>
      <c r="K149" s="145"/>
    </row>
    <row r="150" spans="1:11" ht="15" customHeight="1">
      <c r="A150" s="120" t="s">
        <v>448</v>
      </c>
      <c r="B150" s="121"/>
      <c r="C150" s="60">
        <v>415200</v>
      </c>
      <c r="D150" s="87" t="s">
        <v>447</v>
      </c>
      <c r="E150" s="145">
        <v>10000</v>
      </c>
      <c r="F150" s="145">
        <v>7000</v>
      </c>
      <c r="G150" s="139">
        <f t="shared" si="12"/>
        <v>70</v>
      </c>
      <c r="H150" s="206">
        <f t="shared" si="14"/>
        <v>0.02297341647522153</v>
      </c>
      <c r="I150" s="6"/>
      <c r="J150" s="145">
        <v>10000</v>
      </c>
      <c r="K150" s="145"/>
    </row>
    <row r="151" spans="1:11" ht="25.5" customHeight="1">
      <c r="A151" s="120" t="s">
        <v>155</v>
      </c>
      <c r="B151" s="121"/>
      <c r="C151" s="60">
        <v>415200</v>
      </c>
      <c r="D151" s="87" t="s">
        <v>546</v>
      </c>
      <c r="E151" s="145">
        <v>27000</v>
      </c>
      <c r="F151" s="145">
        <v>27000</v>
      </c>
      <c r="G151" s="139">
        <f t="shared" si="12"/>
        <v>100</v>
      </c>
      <c r="H151" s="206">
        <f t="shared" si="14"/>
        <v>0.08861174926156876</v>
      </c>
      <c r="I151" s="6"/>
      <c r="J151" s="145">
        <v>26880</v>
      </c>
      <c r="K151" s="145"/>
    </row>
    <row r="152" spans="1:11" ht="14.25" customHeight="1">
      <c r="A152" s="120"/>
      <c r="B152" s="47">
        <v>416000</v>
      </c>
      <c r="C152" s="53"/>
      <c r="D152" s="134" t="s">
        <v>1</v>
      </c>
      <c r="E152" s="174">
        <f>SUM(E153:E161)</f>
        <v>714800</v>
      </c>
      <c r="F152" s="136">
        <f>SUM(F153:F161)</f>
        <v>693000</v>
      </c>
      <c r="G152" s="136">
        <f t="shared" si="12"/>
        <v>96.95019585898153</v>
      </c>
      <c r="H152" s="137">
        <f t="shared" si="14"/>
        <v>2.2743682310469313</v>
      </c>
      <c r="I152" s="6"/>
      <c r="J152" s="174">
        <f>SUM(J153:J161)</f>
        <v>737800</v>
      </c>
      <c r="K152" s="174">
        <f>SUM(K153:K161)</f>
        <v>0</v>
      </c>
    </row>
    <row r="153" spans="1:11" ht="12.75" customHeight="1">
      <c r="A153" s="122" t="s">
        <v>145</v>
      </c>
      <c r="B153" s="123"/>
      <c r="C153" s="60">
        <v>416100</v>
      </c>
      <c r="D153" s="82" t="s">
        <v>171</v>
      </c>
      <c r="E153" s="145">
        <v>219800</v>
      </c>
      <c r="F153" s="145">
        <v>210000</v>
      </c>
      <c r="G153" s="139">
        <f t="shared" si="12"/>
        <v>95.54140127388536</v>
      </c>
      <c r="H153" s="206">
        <f t="shared" si="14"/>
        <v>0.6892024942566459</v>
      </c>
      <c r="I153" s="6"/>
      <c r="J153" s="145">
        <v>219800</v>
      </c>
      <c r="K153" s="145"/>
    </row>
    <row r="154" spans="1:11" ht="11.25" customHeight="1">
      <c r="A154" s="122" t="s">
        <v>145</v>
      </c>
      <c r="B154" s="123"/>
      <c r="C154" s="60">
        <v>416100</v>
      </c>
      <c r="D154" s="82" t="s">
        <v>376</v>
      </c>
      <c r="E154" s="145">
        <v>25000</v>
      </c>
      <c r="F154" s="145">
        <v>25000</v>
      </c>
      <c r="G154" s="139">
        <f t="shared" si="12"/>
        <v>100</v>
      </c>
      <c r="H154" s="206">
        <f t="shared" si="14"/>
        <v>0.08204791598293404</v>
      </c>
      <c r="I154" s="6"/>
      <c r="J154" s="145">
        <v>25000</v>
      </c>
      <c r="K154" s="145"/>
    </row>
    <row r="155" spans="1:11" ht="12.75" customHeight="1" hidden="1">
      <c r="A155" s="122" t="s">
        <v>145</v>
      </c>
      <c r="B155" s="123"/>
      <c r="C155" s="60">
        <v>416100</v>
      </c>
      <c r="D155" s="82" t="s">
        <v>404</v>
      </c>
      <c r="E155" s="145">
        <v>0</v>
      </c>
      <c r="F155" s="145"/>
      <c r="G155" s="139">
        <f t="shared" si="12"/>
        <v>0</v>
      </c>
      <c r="H155" s="206">
        <f t="shared" si="14"/>
        <v>0</v>
      </c>
      <c r="I155" s="6"/>
      <c r="J155" s="145">
        <v>0</v>
      </c>
      <c r="K155" s="145"/>
    </row>
    <row r="156" spans="1:11" ht="12.75" customHeight="1">
      <c r="A156" s="122" t="s">
        <v>27</v>
      </c>
      <c r="B156" s="197"/>
      <c r="C156" s="196">
        <v>416100</v>
      </c>
      <c r="D156" s="116" t="s">
        <v>95</v>
      </c>
      <c r="E156" s="145">
        <v>30000</v>
      </c>
      <c r="F156" s="145">
        <v>25000</v>
      </c>
      <c r="G156" s="139">
        <f t="shared" si="12"/>
        <v>83.33333333333334</v>
      </c>
      <c r="H156" s="206">
        <f t="shared" si="14"/>
        <v>0.08204791598293404</v>
      </c>
      <c r="I156" s="6"/>
      <c r="J156" s="145">
        <v>73000</v>
      </c>
      <c r="K156" s="145"/>
    </row>
    <row r="157" spans="1:11" ht="13.5" customHeight="1">
      <c r="A157" s="122" t="s">
        <v>556</v>
      </c>
      <c r="B157" s="197"/>
      <c r="C157" s="60">
        <v>416100</v>
      </c>
      <c r="D157" s="116" t="s">
        <v>555</v>
      </c>
      <c r="E157" s="145">
        <v>10000</v>
      </c>
      <c r="F157" s="145">
        <v>8000</v>
      </c>
      <c r="G157" s="139">
        <f t="shared" si="12"/>
        <v>80</v>
      </c>
      <c r="H157" s="206">
        <f t="shared" si="14"/>
        <v>0.02625533311453889</v>
      </c>
      <c r="I157" s="6"/>
      <c r="J157" s="145">
        <v>10000</v>
      </c>
      <c r="K157" s="145"/>
    </row>
    <row r="158" spans="1:11" ht="25.5" customHeight="1">
      <c r="A158" s="122" t="s">
        <v>27</v>
      </c>
      <c r="B158" s="197"/>
      <c r="C158" s="60">
        <v>416100</v>
      </c>
      <c r="D158" s="116" t="s">
        <v>619</v>
      </c>
      <c r="E158" s="145">
        <v>35000</v>
      </c>
      <c r="F158" s="145">
        <v>30000</v>
      </c>
      <c r="G158" s="139">
        <f t="shared" si="12"/>
        <v>85.71428571428571</v>
      </c>
      <c r="H158" s="206">
        <f t="shared" si="14"/>
        <v>0.09845749917952085</v>
      </c>
      <c r="I158" s="6"/>
      <c r="J158" s="145">
        <v>15000</v>
      </c>
      <c r="K158" s="145"/>
    </row>
    <row r="159" spans="1:11" s="363" customFormat="1" ht="14.25" customHeight="1">
      <c r="A159" s="240" t="s">
        <v>155</v>
      </c>
      <c r="B159" s="361"/>
      <c r="C159" s="196">
        <v>416100</v>
      </c>
      <c r="D159" s="116" t="s">
        <v>523</v>
      </c>
      <c r="E159" s="139">
        <v>130000</v>
      </c>
      <c r="F159" s="139">
        <v>130000</v>
      </c>
      <c r="G159" s="139">
        <f t="shared" si="12"/>
        <v>100</v>
      </c>
      <c r="H159" s="206">
        <f t="shared" si="14"/>
        <v>0.426649163111257</v>
      </c>
      <c r="I159" s="362"/>
      <c r="J159" s="139">
        <v>130000</v>
      </c>
      <c r="K159" s="139"/>
    </row>
    <row r="160" spans="1:11" ht="15.75" customHeight="1">
      <c r="A160" s="122" t="s">
        <v>155</v>
      </c>
      <c r="B160" s="197"/>
      <c r="C160" s="60">
        <v>416100</v>
      </c>
      <c r="D160" s="116" t="s">
        <v>229</v>
      </c>
      <c r="E160" s="143">
        <v>15000</v>
      </c>
      <c r="F160" s="143">
        <v>15000</v>
      </c>
      <c r="G160" s="139">
        <f t="shared" si="12"/>
        <v>100</v>
      </c>
      <c r="H160" s="206">
        <f t="shared" si="14"/>
        <v>0.04922874958976042</v>
      </c>
      <c r="I160" s="6"/>
      <c r="J160" s="143">
        <v>15000</v>
      </c>
      <c r="K160" s="143"/>
    </row>
    <row r="161" spans="1:11" ht="15.75" customHeight="1">
      <c r="A161" s="198" t="s">
        <v>25</v>
      </c>
      <c r="B161" s="197"/>
      <c r="C161" s="60">
        <v>416100</v>
      </c>
      <c r="D161" s="116" t="s">
        <v>535</v>
      </c>
      <c r="E161" s="143">
        <v>250000</v>
      </c>
      <c r="F161" s="143">
        <v>250000</v>
      </c>
      <c r="G161" s="139">
        <f t="shared" si="12"/>
        <v>100</v>
      </c>
      <c r="H161" s="206">
        <f t="shared" si="14"/>
        <v>0.8204791598293404</v>
      </c>
      <c r="I161" s="6"/>
      <c r="J161" s="143">
        <v>250000</v>
      </c>
      <c r="K161" s="143"/>
    </row>
    <row r="162" spans="1:11" ht="15.75" customHeight="1">
      <c r="A162" s="120"/>
      <c r="B162" s="47">
        <v>418000</v>
      </c>
      <c r="C162" s="60"/>
      <c r="D162" s="134" t="s">
        <v>485</v>
      </c>
      <c r="E162" s="140">
        <f>SUM(E163)</f>
        <v>0</v>
      </c>
      <c r="F162" s="140">
        <f>SUM(F163)</f>
        <v>8000</v>
      </c>
      <c r="G162" s="136">
        <f>IF(E162&gt;0,F162/E162*100,0)</f>
        <v>0</v>
      </c>
      <c r="H162" s="137">
        <f t="shared" si="14"/>
        <v>0.02625533311453889</v>
      </c>
      <c r="I162" s="6"/>
      <c r="J162" s="143"/>
      <c r="K162" s="143"/>
    </row>
    <row r="163" spans="1:11" ht="15.75" customHeight="1">
      <c r="A163" s="120" t="s">
        <v>31</v>
      </c>
      <c r="B163" s="123"/>
      <c r="C163" s="60">
        <v>418400</v>
      </c>
      <c r="D163" s="82" t="s">
        <v>98</v>
      </c>
      <c r="E163" s="143">
        <v>0</v>
      </c>
      <c r="F163" s="143">
        <v>8000</v>
      </c>
      <c r="G163" s="139">
        <f>IF(E163&gt;0,F163/E163*100,0)</f>
        <v>0</v>
      </c>
      <c r="H163" s="206">
        <f t="shared" si="14"/>
        <v>0.02625533311453889</v>
      </c>
      <c r="I163" s="6"/>
      <c r="J163" s="143"/>
      <c r="K163" s="143"/>
    </row>
    <row r="164" spans="1:11" ht="12.75" customHeight="1">
      <c r="A164" s="198"/>
      <c r="B164" s="47">
        <v>487000</v>
      </c>
      <c r="C164" s="60"/>
      <c r="D164" s="199" t="s">
        <v>319</v>
      </c>
      <c r="E164" s="140">
        <f>SUM(E165:E167)</f>
        <v>18000</v>
      </c>
      <c r="F164" s="136">
        <f>SUM(F165:F167)</f>
        <v>18000</v>
      </c>
      <c r="G164" s="136">
        <f t="shared" si="12"/>
        <v>100</v>
      </c>
      <c r="H164" s="137">
        <f t="shared" si="14"/>
        <v>0.0590744995077125</v>
      </c>
      <c r="I164" s="6"/>
      <c r="J164" s="140">
        <f>SUM(J165:J167)</f>
        <v>18000</v>
      </c>
      <c r="K164" s="174">
        <f>SUM(K165:K167)</f>
        <v>0</v>
      </c>
    </row>
    <row r="165" spans="1:11" ht="12" customHeight="1">
      <c r="A165" s="198" t="s">
        <v>25</v>
      </c>
      <c r="B165" s="47"/>
      <c r="C165" s="60">
        <v>487900</v>
      </c>
      <c r="D165" s="82" t="s">
        <v>141</v>
      </c>
      <c r="E165" s="145">
        <v>8000</v>
      </c>
      <c r="F165" s="145">
        <v>8000</v>
      </c>
      <c r="G165" s="139">
        <f t="shared" si="12"/>
        <v>100</v>
      </c>
      <c r="H165" s="206">
        <f t="shared" si="14"/>
        <v>0.02625533311453889</v>
      </c>
      <c r="I165" s="6"/>
      <c r="J165" s="145">
        <v>8000</v>
      </c>
      <c r="K165" s="145"/>
    </row>
    <row r="166" spans="1:11" ht="13.5" customHeight="1" hidden="1">
      <c r="A166" s="122" t="s">
        <v>25</v>
      </c>
      <c r="B166" s="197"/>
      <c r="C166" s="60">
        <v>487900</v>
      </c>
      <c r="D166" s="82" t="s">
        <v>432</v>
      </c>
      <c r="E166" s="145"/>
      <c r="F166" s="145"/>
      <c r="G166" s="139">
        <f t="shared" si="12"/>
        <v>0</v>
      </c>
      <c r="H166" s="206">
        <f t="shared" si="14"/>
        <v>0</v>
      </c>
      <c r="I166" s="6"/>
      <c r="J166" s="145"/>
      <c r="K166" s="145"/>
    </row>
    <row r="167" spans="1:11" ht="12.75" customHeight="1">
      <c r="A167" s="120" t="s">
        <v>25</v>
      </c>
      <c r="B167" s="123"/>
      <c r="C167" s="60">
        <v>487900</v>
      </c>
      <c r="D167" s="82" t="s">
        <v>256</v>
      </c>
      <c r="E167" s="145">
        <v>10000</v>
      </c>
      <c r="F167" s="145">
        <v>10000</v>
      </c>
      <c r="G167" s="139">
        <f t="shared" si="12"/>
        <v>100</v>
      </c>
      <c r="H167" s="206">
        <f t="shared" si="14"/>
        <v>0.03281916639317361</v>
      </c>
      <c r="I167" s="6"/>
      <c r="J167" s="145">
        <v>10000</v>
      </c>
      <c r="K167" s="145"/>
    </row>
    <row r="168" spans="1:11" ht="24" customHeight="1">
      <c r="A168" s="522"/>
      <c r="B168" s="523"/>
      <c r="C168" s="524" t="s">
        <v>197</v>
      </c>
      <c r="D168" s="525"/>
      <c r="E168" s="439">
        <f>E111+E116+E118+E152+E162+E164</f>
        <v>2019800</v>
      </c>
      <c r="F168" s="439">
        <f>F111+F116+F118+F152+F162+F164</f>
        <v>1934000</v>
      </c>
      <c r="G168" s="359">
        <f t="shared" si="12"/>
        <v>95.75205465887711</v>
      </c>
      <c r="H168" s="387">
        <f t="shared" si="14"/>
        <v>6.347226780439777</v>
      </c>
      <c r="I168" s="6"/>
      <c r="J168" s="158">
        <f>J111+J116+J118+J152+J164</f>
        <v>1797510</v>
      </c>
      <c r="K168" s="440">
        <f>K111+K116+K118+K152+K164</f>
        <v>10000</v>
      </c>
    </row>
    <row r="169" spans="1:11" ht="9.75" customHeight="1">
      <c r="A169" s="522"/>
      <c r="B169" s="523"/>
      <c r="C169" s="526" t="s">
        <v>502</v>
      </c>
      <c r="D169" s="526"/>
      <c r="E169" s="188"/>
      <c r="F169" s="188"/>
      <c r="G169" s="188"/>
      <c r="H169" s="189"/>
      <c r="I169" s="6"/>
      <c r="J169" s="188"/>
      <c r="K169" s="188"/>
    </row>
    <row r="170" spans="1:11" ht="9.75" customHeight="1">
      <c r="A170" s="522"/>
      <c r="B170" s="523"/>
      <c r="C170" s="526"/>
      <c r="D170" s="526"/>
      <c r="E170" s="190"/>
      <c r="F170" s="190"/>
      <c r="G170" s="190"/>
      <c r="H170" s="191"/>
      <c r="I170" s="6"/>
      <c r="J170" s="190"/>
      <c r="K170" s="190"/>
    </row>
    <row r="171" spans="1:11" ht="21.75" customHeight="1">
      <c r="A171" s="522"/>
      <c r="B171" s="523"/>
      <c r="C171" s="526"/>
      <c r="D171" s="526"/>
      <c r="E171" s="192"/>
      <c r="F171" s="192"/>
      <c r="G171" s="192"/>
      <c r="H171" s="193"/>
      <c r="I171" s="6"/>
      <c r="J171" s="192"/>
      <c r="K171" s="192"/>
    </row>
    <row r="172" spans="1:11" ht="14.25" customHeight="1">
      <c r="A172" s="120"/>
      <c r="B172" s="47">
        <v>412000</v>
      </c>
      <c r="C172" s="53"/>
      <c r="D172" s="134" t="s">
        <v>117</v>
      </c>
      <c r="E172" s="136">
        <f>SUM(E173:E177)</f>
        <v>46900</v>
      </c>
      <c r="F172" s="136">
        <f>SUM(F173:F177)</f>
        <v>95400</v>
      </c>
      <c r="G172" s="136">
        <f aca="true" t="shared" si="15" ref="G172:G181">IF(E172&gt;0,F172/E172*100,0)</f>
        <v>203.41151385927506</v>
      </c>
      <c r="H172" s="137">
        <f aca="true" t="shared" si="16" ref="H172:H181">F172/$F$587*100</f>
        <v>0.3130948473908763</v>
      </c>
      <c r="I172" s="6"/>
      <c r="J172" s="174">
        <f>SUM(J173:J176)</f>
        <v>52900</v>
      </c>
      <c r="K172" s="174">
        <f>SUM(K173:K176)</f>
        <v>0</v>
      </c>
    </row>
    <row r="173" spans="1:11" ht="24.75" customHeight="1">
      <c r="A173" s="120" t="s">
        <v>33</v>
      </c>
      <c r="B173" s="47"/>
      <c r="C173" s="60">
        <v>412700</v>
      </c>
      <c r="D173" s="82" t="s">
        <v>162</v>
      </c>
      <c r="E173" s="143">
        <v>12500</v>
      </c>
      <c r="F173" s="143">
        <v>10000</v>
      </c>
      <c r="G173" s="139">
        <f t="shared" si="15"/>
        <v>80</v>
      </c>
      <c r="H173" s="206">
        <f t="shared" si="16"/>
        <v>0.03281916639317361</v>
      </c>
      <c r="I173" s="6"/>
      <c r="J173" s="143">
        <v>12500</v>
      </c>
      <c r="K173" s="143"/>
    </row>
    <row r="174" spans="1:11" ht="25.5" customHeight="1">
      <c r="A174" s="120" t="s">
        <v>33</v>
      </c>
      <c r="B174" s="47"/>
      <c r="C174" s="60">
        <v>412700</v>
      </c>
      <c r="D174" s="82" t="s">
        <v>97</v>
      </c>
      <c r="E174" s="187">
        <v>15000</v>
      </c>
      <c r="F174" s="187">
        <v>15000</v>
      </c>
      <c r="G174" s="139">
        <f t="shared" si="15"/>
        <v>100</v>
      </c>
      <c r="H174" s="206">
        <f t="shared" si="16"/>
        <v>0.04922874958976042</v>
      </c>
      <c r="I174" s="6"/>
      <c r="J174" s="187">
        <v>18000</v>
      </c>
      <c r="K174" s="187"/>
    </row>
    <row r="175" spans="1:11" ht="12.75">
      <c r="A175" s="120" t="s">
        <v>22</v>
      </c>
      <c r="B175" s="123"/>
      <c r="C175" s="60">
        <v>412900</v>
      </c>
      <c r="D175" s="82" t="s">
        <v>23</v>
      </c>
      <c r="E175" s="143">
        <v>400</v>
      </c>
      <c r="F175" s="143">
        <v>400</v>
      </c>
      <c r="G175" s="139">
        <f t="shared" si="15"/>
        <v>100</v>
      </c>
      <c r="H175" s="206">
        <f t="shared" si="16"/>
        <v>0.0013127666557269445</v>
      </c>
      <c r="I175" s="6"/>
      <c r="J175" s="143">
        <v>400</v>
      </c>
      <c r="K175" s="143"/>
    </row>
    <row r="176" spans="1:11" ht="25.5">
      <c r="A176" s="120" t="s">
        <v>22</v>
      </c>
      <c r="B176" s="123"/>
      <c r="C176" s="60">
        <v>412900</v>
      </c>
      <c r="D176" s="82" t="s">
        <v>96</v>
      </c>
      <c r="E176" s="143">
        <v>19000</v>
      </c>
      <c r="F176" s="143">
        <v>20000</v>
      </c>
      <c r="G176" s="139">
        <f t="shared" si="15"/>
        <v>105.26315789473684</v>
      </c>
      <c r="H176" s="206">
        <f t="shared" si="16"/>
        <v>0.06563833278634722</v>
      </c>
      <c r="I176" s="6"/>
      <c r="J176" s="143">
        <v>22000</v>
      </c>
      <c r="K176" s="143"/>
    </row>
    <row r="177" spans="1:11" ht="15" customHeight="1">
      <c r="A177" s="120" t="s">
        <v>33</v>
      </c>
      <c r="B177" s="123"/>
      <c r="C177" s="60">
        <v>412900</v>
      </c>
      <c r="D177" s="82" t="s">
        <v>582</v>
      </c>
      <c r="E177" s="143">
        <v>0</v>
      </c>
      <c r="F177" s="143">
        <v>50000</v>
      </c>
      <c r="G177" s="139">
        <f t="shared" si="15"/>
        <v>0</v>
      </c>
      <c r="H177" s="206">
        <f t="shared" si="16"/>
        <v>0.16409583196586808</v>
      </c>
      <c r="I177" s="6"/>
      <c r="J177" s="143"/>
      <c r="K177" s="143"/>
    </row>
    <row r="178" spans="1:11" ht="12.75">
      <c r="A178" s="120"/>
      <c r="B178" s="47">
        <v>416100</v>
      </c>
      <c r="C178" s="60"/>
      <c r="D178" s="134" t="s">
        <v>1</v>
      </c>
      <c r="E178" s="136">
        <f>SUM(E179:E180)</f>
        <v>107000</v>
      </c>
      <c r="F178" s="136">
        <f>SUM(F179:F180)</f>
        <v>45000</v>
      </c>
      <c r="G178" s="136">
        <f t="shared" si="15"/>
        <v>42.05607476635514</v>
      </c>
      <c r="H178" s="137">
        <f t="shared" si="16"/>
        <v>0.14768624876928127</v>
      </c>
      <c r="I178" s="6"/>
      <c r="J178" s="136">
        <f>SUM(J179)</f>
        <v>107000</v>
      </c>
      <c r="K178" s="136">
        <f>SUM(K179)</f>
        <v>0</v>
      </c>
    </row>
    <row r="179" spans="1:11" ht="25.5">
      <c r="A179" s="120" t="s">
        <v>33</v>
      </c>
      <c r="B179" s="123"/>
      <c r="C179" s="60">
        <v>416100</v>
      </c>
      <c r="D179" s="82" t="s">
        <v>387</v>
      </c>
      <c r="E179" s="63">
        <v>7000</v>
      </c>
      <c r="F179" s="187">
        <v>10000</v>
      </c>
      <c r="G179" s="139">
        <f t="shared" si="15"/>
        <v>142.85714285714286</v>
      </c>
      <c r="H179" s="206">
        <f t="shared" si="16"/>
        <v>0.03281916639317361</v>
      </c>
      <c r="I179" s="6"/>
      <c r="J179" s="63">
        <v>107000</v>
      </c>
      <c r="K179" s="63"/>
    </row>
    <row r="180" spans="1:11" ht="25.5">
      <c r="A180" s="219" t="s">
        <v>33</v>
      </c>
      <c r="B180" s="123"/>
      <c r="C180" s="60">
        <v>416100</v>
      </c>
      <c r="D180" s="82" t="s">
        <v>583</v>
      </c>
      <c r="E180" s="63">
        <v>100000</v>
      </c>
      <c r="F180" s="187">
        <v>35000</v>
      </c>
      <c r="G180" s="139">
        <f t="shared" si="15"/>
        <v>35</v>
      </c>
      <c r="H180" s="206">
        <f t="shared" si="16"/>
        <v>0.11486708237610765</v>
      </c>
      <c r="I180" s="6"/>
      <c r="J180" s="63"/>
      <c r="K180" s="63"/>
    </row>
    <row r="181" spans="1:11" ht="30" customHeight="1">
      <c r="A181" s="522"/>
      <c r="B181" s="523"/>
      <c r="C181" s="524" t="s">
        <v>200</v>
      </c>
      <c r="D181" s="525"/>
      <c r="E181" s="158">
        <f>E172+E178</f>
        <v>153900</v>
      </c>
      <c r="F181" s="158">
        <f>F172+F178</f>
        <v>140400</v>
      </c>
      <c r="G181" s="359">
        <f t="shared" si="15"/>
        <v>91.22807017543859</v>
      </c>
      <c r="H181" s="387">
        <f t="shared" si="16"/>
        <v>0.46078109616015756</v>
      </c>
      <c r="I181" s="6"/>
      <c r="J181" s="158" t="e">
        <f>J172+#REF!+J178</f>
        <v>#REF!</v>
      </c>
      <c r="K181" s="440" t="e">
        <f>K172+#REF!+K178</f>
        <v>#REF!</v>
      </c>
    </row>
    <row r="182" spans="1:11" ht="9.75" customHeight="1">
      <c r="A182" s="522"/>
      <c r="B182" s="523"/>
      <c r="C182" s="526" t="s">
        <v>501</v>
      </c>
      <c r="D182" s="526"/>
      <c r="E182" s="188"/>
      <c r="F182" s="188"/>
      <c r="G182" s="188"/>
      <c r="H182" s="189"/>
      <c r="I182" s="6"/>
      <c r="J182" s="188"/>
      <c r="K182" s="188"/>
    </row>
    <row r="183" spans="1:11" ht="9.75" customHeight="1">
      <c r="A183" s="522"/>
      <c r="B183" s="523"/>
      <c r="C183" s="526"/>
      <c r="D183" s="526"/>
      <c r="E183" s="190"/>
      <c r="F183" s="190"/>
      <c r="G183" s="190"/>
      <c r="H183" s="191"/>
      <c r="I183" s="6"/>
      <c r="J183" s="190"/>
      <c r="K183" s="190"/>
    </row>
    <row r="184" spans="1:11" ht="9.75" customHeight="1">
      <c r="A184" s="522"/>
      <c r="B184" s="523"/>
      <c r="C184" s="526"/>
      <c r="D184" s="526"/>
      <c r="E184" s="190"/>
      <c r="F184" s="190"/>
      <c r="G184" s="190"/>
      <c r="H184" s="191"/>
      <c r="I184" s="6"/>
      <c r="J184" s="190"/>
      <c r="K184" s="190"/>
    </row>
    <row r="185" spans="1:11" ht="11.25" customHeight="1">
      <c r="A185" s="522"/>
      <c r="B185" s="523"/>
      <c r="C185" s="526"/>
      <c r="D185" s="526"/>
      <c r="E185" s="192"/>
      <c r="F185" s="192"/>
      <c r="G185" s="192"/>
      <c r="H185" s="193"/>
      <c r="I185" s="6"/>
      <c r="J185" s="192"/>
      <c r="K185" s="192"/>
    </row>
    <row r="186" spans="1:11" ht="14.25" customHeight="1">
      <c r="A186" s="120"/>
      <c r="B186" s="47">
        <v>412000</v>
      </c>
      <c r="C186" s="72"/>
      <c r="D186" s="134" t="s">
        <v>117</v>
      </c>
      <c r="E186" s="136">
        <f>SUM(E187:E193)</f>
        <v>185300</v>
      </c>
      <c r="F186" s="136">
        <f>SUM(F187:F193)</f>
        <v>206300</v>
      </c>
      <c r="G186" s="136">
        <f aca="true" t="shared" si="17" ref="G186:G243">IF(E186&gt;0,F186/E186*100,0)</f>
        <v>111.33297355639505</v>
      </c>
      <c r="H186" s="137">
        <f aca="true" t="shared" si="18" ref="H186:H217">F186/$F$587*100</f>
        <v>0.6770594026911716</v>
      </c>
      <c r="I186" s="6"/>
      <c r="J186" s="174">
        <f>SUM(J187:J193)</f>
        <v>203300</v>
      </c>
      <c r="K186" s="174">
        <f>SUM(K187:K193)</f>
        <v>0</v>
      </c>
    </row>
    <row r="187" spans="1:11" ht="14.25" customHeight="1">
      <c r="A187" s="120" t="s">
        <v>22</v>
      </c>
      <c r="B187" s="47"/>
      <c r="C187" s="60">
        <v>412100</v>
      </c>
      <c r="D187" s="82" t="s">
        <v>218</v>
      </c>
      <c r="E187" s="187">
        <v>40000</v>
      </c>
      <c r="F187" s="187">
        <v>50000</v>
      </c>
      <c r="G187" s="139">
        <f t="shared" si="17"/>
        <v>125</v>
      </c>
      <c r="H187" s="206">
        <f t="shared" si="18"/>
        <v>0.16409583196586808</v>
      </c>
      <c r="I187" s="6"/>
      <c r="J187" s="145">
        <v>50000</v>
      </c>
      <c r="K187" s="145"/>
    </row>
    <row r="188" spans="1:11" ht="25.5">
      <c r="A188" s="120" t="s">
        <v>22</v>
      </c>
      <c r="B188" s="47"/>
      <c r="C188" s="60">
        <v>412200</v>
      </c>
      <c r="D188" s="82" t="s">
        <v>433</v>
      </c>
      <c r="E188" s="145">
        <v>60000</v>
      </c>
      <c r="F188" s="145">
        <v>68000</v>
      </c>
      <c r="G188" s="139">
        <f t="shared" si="17"/>
        <v>113.33333333333333</v>
      </c>
      <c r="H188" s="206">
        <f t="shared" si="18"/>
        <v>0.2231703314735806</v>
      </c>
      <c r="I188" s="6"/>
      <c r="J188" s="145">
        <v>65000</v>
      </c>
      <c r="K188" s="145"/>
    </row>
    <row r="189" spans="1:11" ht="12.75" customHeight="1">
      <c r="A189" s="122" t="s">
        <v>22</v>
      </c>
      <c r="B189" s="123"/>
      <c r="C189" s="194">
        <v>412700</v>
      </c>
      <c r="D189" s="87" t="s">
        <v>163</v>
      </c>
      <c r="E189" s="145">
        <v>5000</v>
      </c>
      <c r="F189" s="145">
        <v>5000</v>
      </c>
      <c r="G189" s="139">
        <f t="shared" si="17"/>
        <v>100</v>
      </c>
      <c r="H189" s="206">
        <f t="shared" si="18"/>
        <v>0.016409583196586804</v>
      </c>
      <c r="I189" s="6"/>
      <c r="J189" s="145">
        <v>5000</v>
      </c>
      <c r="K189" s="145"/>
    </row>
    <row r="190" spans="1:11" ht="12.75" customHeight="1">
      <c r="A190" s="122" t="s">
        <v>22</v>
      </c>
      <c r="B190" s="123"/>
      <c r="C190" s="194">
        <v>412700</v>
      </c>
      <c r="D190" s="87" t="s">
        <v>124</v>
      </c>
      <c r="E190" s="145">
        <v>900</v>
      </c>
      <c r="F190" s="145">
        <v>900</v>
      </c>
      <c r="G190" s="139">
        <f t="shared" si="17"/>
        <v>100</v>
      </c>
      <c r="H190" s="206">
        <f t="shared" si="18"/>
        <v>0.002953724975385625</v>
      </c>
      <c r="I190" s="6"/>
      <c r="J190" s="145">
        <v>900</v>
      </c>
      <c r="K190" s="145"/>
    </row>
    <row r="191" spans="1:11" ht="14.25" customHeight="1">
      <c r="A191" s="120" t="s">
        <v>22</v>
      </c>
      <c r="B191" s="123"/>
      <c r="C191" s="60">
        <v>412900</v>
      </c>
      <c r="D191" s="82" t="s">
        <v>219</v>
      </c>
      <c r="E191" s="187">
        <v>77000</v>
      </c>
      <c r="F191" s="145">
        <v>80000</v>
      </c>
      <c r="G191" s="139">
        <f t="shared" si="17"/>
        <v>103.89610389610388</v>
      </c>
      <c r="H191" s="206">
        <f t="shared" si="18"/>
        <v>0.26255333114538887</v>
      </c>
      <c r="I191" s="6"/>
      <c r="J191" s="145">
        <v>80000</v>
      </c>
      <c r="K191" s="145"/>
    </row>
    <row r="192" spans="1:11" ht="12.75" customHeight="1">
      <c r="A192" s="120" t="s">
        <v>22</v>
      </c>
      <c r="B192" s="123"/>
      <c r="C192" s="60">
        <v>412900</v>
      </c>
      <c r="D192" s="82" t="s">
        <v>0</v>
      </c>
      <c r="E192" s="143">
        <v>400</v>
      </c>
      <c r="F192" s="143">
        <v>400</v>
      </c>
      <c r="G192" s="139">
        <f t="shared" si="17"/>
        <v>100</v>
      </c>
      <c r="H192" s="206">
        <f t="shared" si="18"/>
        <v>0.0013127666557269445</v>
      </c>
      <c r="I192" s="6"/>
      <c r="J192" s="143">
        <v>400</v>
      </c>
      <c r="K192" s="143"/>
    </row>
    <row r="193" spans="1:11" ht="12.75" customHeight="1">
      <c r="A193" s="120" t="s">
        <v>22</v>
      </c>
      <c r="B193" s="123"/>
      <c r="C193" s="60">
        <v>412900</v>
      </c>
      <c r="D193" s="82" t="s">
        <v>547</v>
      </c>
      <c r="E193" s="143">
        <v>2000</v>
      </c>
      <c r="F193" s="143">
        <v>2000</v>
      </c>
      <c r="G193" s="139">
        <f t="shared" si="17"/>
        <v>100</v>
      </c>
      <c r="H193" s="206">
        <f t="shared" si="18"/>
        <v>0.006563833278634723</v>
      </c>
      <c r="I193" s="6"/>
      <c r="J193" s="143">
        <v>2000</v>
      </c>
      <c r="K193" s="143"/>
    </row>
    <row r="194" spans="1:11" ht="15" customHeight="1">
      <c r="A194" s="120"/>
      <c r="B194" s="47"/>
      <c r="C194" s="60"/>
      <c r="D194" s="134" t="s">
        <v>180</v>
      </c>
      <c r="E194" s="174">
        <f>SUM(E195:E202)</f>
        <v>622000</v>
      </c>
      <c r="F194" s="136">
        <f>SUM(F195:F202)</f>
        <v>707000</v>
      </c>
      <c r="G194" s="136">
        <f t="shared" si="17"/>
        <v>113.66559485530547</v>
      </c>
      <c r="H194" s="137">
        <f t="shared" si="18"/>
        <v>2.3203150639973744</v>
      </c>
      <c r="I194" s="6"/>
      <c r="J194" s="174">
        <f>SUM(J195:J202)</f>
        <v>920000</v>
      </c>
      <c r="K194" s="174">
        <f>SUM(K195:K202)</f>
        <v>0</v>
      </c>
    </row>
    <row r="195" spans="1:11" ht="51.75" customHeight="1">
      <c r="A195" s="122" t="s">
        <v>35</v>
      </c>
      <c r="B195" s="123"/>
      <c r="C195" s="90">
        <v>412800</v>
      </c>
      <c r="D195" s="87" t="s">
        <v>493</v>
      </c>
      <c r="E195" s="139">
        <v>120000</v>
      </c>
      <c r="F195" s="139">
        <v>120000</v>
      </c>
      <c r="G195" s="139">
        <f t="shared" si="17"/>
        <v>100</v>
      </c>
      <c r="H195" s="206">
        <f t="shared" si="18"/>
        <v>0.3938299967180834</v>
      </c>
      <c r="I195" s="6"/>
      <c r="J195" s="143">
        <v>280000</v>
      </c>
      <c r="K195" s="143"/>
    </row>
    <row r="196" spans="1:11" ht="40.5" customHeight="1">
      <c r="A196" s="122" t="s">
        <v>35</v>
      </c>
      <c r="B196" s="123"/>
      <c r="C196" s="90">
        <v>412800</v>
      </c>
      <c r="D196" s="87" t="s">
        <v>449</v>
      </c>
      <c r="E196" s="145">
        <v>120000</v>
      </c>
      <c r="F196" s="145">
        <v>120000</v>
      </c>
      <c r="G196" s="139">
        <f t="shared" si="17"/>
        <v>100</v>
      </c>
      <c r="H196" s="206">
        <f t="shared" si="18"/>
        <v>0.3938299967180834</v>
      </c>
      <c r="I196" s="6"/>
      <c r="J196" s="145">
        <v>120000</v>
      </c>
      <c r="K196" s="145"/>
    </row>
    <row r="197" spans="1:11" ht="14.25" customHeight="1">
      <c r="A197" s="122" t="s">
        <v>35</v>
      </c>
      <c r="B197" s="123"/>
      <c r="C197" s="90">
        <v>412800</v>
      </c>
      <c r="D197" s="87" t="s">
        <v>450</v>
      </c>
      <c r="E197" s="187">
        <v>100000</v>
      </c>
      <c r="F197" s="187">
        <v>100000</v>
      </c>
      <c r="G197" s="139">
        <f t="shared" si="17"/>
        <v>100</v>
      </c>
      <c r="H197" s="206">
        <f t="shared" si="18"/>
        <v>0.32819166393173616</v>
      </c>
      <c r="I197" s="6"/>
      <c r="J197" s="145">
        <v>180000</v>
      </c>
      <c r="K197" s="145"/>
    </row>
    <row r="198" spans="1:11" ht="25.5">
      <c r="A198" s="122" t="s">
        <v>35</v>
      </c>
      <c r="B198" s="123"/>
      <c r="C198" s="90">
        <v>412800</v>
      </c>
      <c r="D198" s="87" t="s">
        <v>110</v>
      </c>
      <c r="E198" s="145">
        <v>180000</v>
      </c>
      <c r="F198" s="145">
        <v>260000</v>
      </c>
      <c r="G198" s="139">
        <f t="shared" si="17"/>
        <v>144.44444444444443</v>
      </c>
      <c r="H198" s="206">
        <f t="shared" si="18"/>
        <v>0.853298326222514</v>
      </c>
      <c r="I198" s="6"/>
      <c r="J198" s="145">
        <v>200000</v>
      </c>
      <c r="K198" s="145"/>
    </row>
    <row r="199" spans="1:11" ht="25.5">
      <c r="A199" s="122" t="s">
        <v>35</v>
      </c>
      <c r="B199" s="123"/>
      <c r="C199" s="90">
        <v>412800</v>
      </c>
      <c r="D199" s="87" t="s">
        <v>536</v>
      </c>
      <c r="E199" s="187">
        <v>50000</v>
      </c>
      <c r="F199" s="187">
        <v>50000</v>
      </c>
      <c r="G199" s="139">
        <f t="shared" si="17"/>
        <v>100</v>
      </c>
      <c r="H199" s="206">
        <f t="shared" si="18"/>
        <v>0.16409583196586808</v>
      </c>
      <c r="I199" s="6"/>
      <c r="J199" s="145">
        <v>80000</v>
      </c>
      <c r="K199" s="145"/>
    </row>
    <row r="200" spans="1:11" ht="12.75">
      <c r="A200" s="122" t="s">
        <v>35</v>
      </c>
      <c r="B200" s="123"/>
      <c r="C200" s="123">
        <v>412800</v>
      </c>
      <c r="D200" s="69" t="s">
        <v>173</v>
      </c>
      <c r="E200" s="187">
        <v>12000</v>
      </c>
      <c r="F200" s="187">
        <v>12000</v>
      </c>
      <c r="G200" s="139">
        <f t="shared" si="17"/>
        <v>100</v>
      </c>
      <c r="H200" s="206">
        <f t="shared" si="18"/>
        <v>0.03938299967180833</v>
      </c>
      <c r="I200" s="6"/>
      <c r="J200" s="187">
        <v>10000</v>
      </c>
      <c r="K200" s="187"/>
    </row>
    <row r="201" spans="1:11" ht="12.75">
      <c r="A201" s="122" t="s">
        <v>35</v>
      </c>
      <c r="B201" s="123"/>
      <c r="C201" s="90">
        <v>412800</v>
      </c>
      <c r="D201" s="87" t="s">
        <v>36</v>
      </c>
      <c r="E201" s="187">
        <v>20000</v>
      </c>
      <c r="F201" s="187">
        <v>20000</v>
      </c>
      <c r="G201" s="139">
        <f t="shared" si="17"/>
        <v>100</v>
      </c>
      <c r="H201" s="206">
        <f t="shared" si="18"/>
        <v>0.06563833278634722</v>
      </c>
      <c r="I201" s="6"/>
      <c r="J201" s="187">
        <v>20000</v>
      </c>
      <c r="K201" s="187"/>
    </row>
    <row r="202" spans="1:11" ht="15" customHeight="1">
      <c r="A202" s="122" t="s">
        <v>35</v>
      </c>
      <c r="B202" s="123"/>
      <c r="C202" s="90">
        <v>412800</v>
      </c>
      <c r="D202" s="87" t="s">
        <v>113</v>
      </c>
      <c r="E202" s="187">
        <v>20000</v>
      </c>
      <c r="F202" s="145">
        <v>25000</v>
      </c>
      <c r="G202" s="139">
        <f t="shared" si="17"/>
        <v>125</v>
      </c>
      <c r="H202" s="206">
        <f t="shared" si="18"/>
        <v>0.08204791598293404</v>
      </c>
      <c r="I202" s="6"/>
      <c r="J202" s="187">
        <v>30000</v>
      </c>
      <c r="K202" s="187"/>
    </row>
    <row r="203" spans="1:11" ht="16.5" customHeight="1">
      <c r="A203" s="120"/>
      <c r="B203" s="123"/>
      <c r="C203" s="89"/>
      <c r="D203" s="86" t="s">
        <v>37</v>
      </c>
      <c r="E203" s="174">
        <f>SUM(E204:E209)</f>
        <v>184000</v>
      </c>
      <c r="F203" s="136">
        <f>SUM(F204:F209)</f>
        <v>375000</v>
      </c>
      <c r="G203" s="136">
        <f t="shared" si="17"/>
        <v>203.80434782608697</v>
      </c>
      <c r="H203" s="137">
        <f t="shared" si="18"/>
        <v>1.2307187397440105</v>
      </c>
      <c r="I203" s="6"/>
      <c r="J203" s="174">
        <f>SUM(J204:J209)</f>
        <v>355000</v>
      </c>
      <c r="K203" s="174">
        <f>SUM(K204:K209)</f>
        <v>0</v>
      </c>
    </row>
    <row r="204" spans="1:11" ht="24.75" customHeight="1">
      <c r="A204" s="120" t="s">
        <v>38</v>
      </c>
      <c r="B204" s="123"/>
      <c r="C204" s="90">
        <v>412500</v>
      </c>
      <c r="D204" s="87" t="s">
        <v>374</v>
      </c>
      <c r="E204" s="139">
        <v>115000</v>
      </c>
      <c r="F204" s="139">
        <v>270000</v>
      </c>
      <c r="G204" s="139">
        <f t="shared" si="17"/>
        <v>234.7826086956522</v>
      </c>
      <c r="H204" s="206">
        <f t="shared" si="18"/>
        <v>0.8861174926156876</v>
      </c>
      <c r="I204" s="6"/>
      <c r="J204" s="143">
        <v>200000</v>
      </c>
      <c r="K204" s="143"/>
    </row>
    <row r="205" spans="1:11" ht="22.5" customHeight="1" hidden="1">
      <c r="A205" s="120" t="s">
        <v>38</v>
      </c>
      <c r="B205" s="123"/>
      <c r="C205" s="90">
        <v>412500</v>
      </c>
      <c r="D205" s="87" t="s">
        <v>228</v>
      </c>
      <c r="E205" s="143"/>
      <c r="F205" s="143"/>
      <c r="G205" s="139">
        <f t="shared" si="17"/>
        <v>0</v>
      </c>
      <c r="H205" s="206">
        <f t="shared" si="18"/>
        <v>0</v>
      </c>
      <c r="I205" s="6"/>
      <c r="J205" s="143"/>
      <c r="K205" s="143"/>
    </row>
    <row r="206" spans="1:11" ht="24.75" customHeight="1">
      <c r="A206" s="120" t="s">
        <v>38</v>
      </c>
      <c r="B206" s="123"/>
      <c r="C206" s="90">
        <v>412500</v>
      </c>
      <c r="D206" s="69" t="s">
        <v>167</v>
      </c>
      <c r="E206" s="143">
        <v>20000</v>
      </c>
      <c r="F206" s="143">
        <v>30000</v>
      </c>
      <c r="G206" s="139">
        <f t="shared" si="17"/>
        <v>150</v>
      </c>
      <c r="H206" s="206">
        <f t="shared" si="18"/>
        <v>0.09845749917952085</v>
      </c>
      <c r="I206" s="6"/>
      <c r="J206" s="143">
        <v>20000</v>
      </c>
      <c r="K206" s="143"/>
    </row>
    <row r="207" spans="1:11" ht="15.75" customHeight="1">
      <c r="A207" s="120" t="s">
        <v>38</v>
      </c>
      <c r="B207" s="123"/>
      <c r="C207" s="90">
        <v>412500</v>
      </c>
      <c r="D207" s="87" t="s">
        <v>177</v>
      </c>
      <c r="E207" s="145">
        <v>20000</v>
      </c>
      <c r="F207" s="145">
        <v>35000</v>
      </c>
      <c r="G207" s="139">
        <f t="shared" si="17"/>
        <v>175</v>
      </c>
      <c r="H207" s="206">
        <f t="shared" si="18"/>
        <v>0.11486708237610765</v>
      </c>
      <c r="I207" s="6"/>
      <c r="J207" s="145">
        <v>50000</v>
      </c>
      <c r="K207" s="145"/>
    </row>
    <row r="208" spans="1:11" ht="12.75">
      <c r="A208" s="120" t="s">
        <v>38</v>
      </c>
      <c r="B208" s="123"/>
      <c r="C208" s="90">
        <v>412500</v>
      </c>
      <c r="D208" s="87" t="s">
        <v>39</v>
      </c>
      <c r="E208" s="139">
        <v>27000</v>
      </c>
      <c r="F208" s="139">
        <v>35000</v>
      </c>
      <c r="G208" s="139">
        <f t="shared" si="17"/>
        <v>129.62962962962962</v>
      </c>
      <c r="H208" s="206">
        <f t="shared" si="18"/>
        <v>0.11486708237610765</v>
      </c>
      <c r="I208" s="6"/>
      <c r="J208" s="145">
        <v>80000</v>
      </c>
      <c r="K208" s="145"/>
    </row>
    <row r="209" spans="1:11" ht="10.5" customHeight="1">
      <c r="A209" s="120" t="s">
        <v>38</v>
      </c>
      <c r="B209" s="123"/>
      <c r="C209" s="90">
        <v>412500</v>
      </c>
      <c r="D209" s="87" t="s">
        <v>40</v>
      </c>
      <c r="E209" s="145">
        <v>2000</v>
      </c>
      <c r="F209" s="145">
        <v>5000</v>
      </c>
      <c r="G209" s="139">
        <f t="shared" si="17"/>
        <v>250</v>
      </c>
      <c r="H209" s="206">
        <f t="shared" si="18"/>
        <v>0.016409583196586804</v>
      </c>
      <c r="I209" s="6"/>
      <c r="J209" s="145">
        <v>5000</v>
      </c>
      <c r="K209" s="145"/>
    </row>
    <row r="210" spans="1:11" ht="14.25" customHeight="1" hidden="1">
      <c r="A210" s="120"/>
      <c r="B210" s="47">
        <v>414000</v>
      </c>
      <c r="C210" s="90"/>
      <c r="D210" s="86" t="s">
        <v>168</v>
      </c>
      <c r="E210" s="174">
        <f>SUM(E211)</f>
        <v>0</v>
      </c>
      <c r="F210" s="136">
        <f>SUM(F211)</f>
        <v>0</v>
      </c>
      <c r="G210" s="136">
        <f t="shared" si="17"/>
        <v>0</v>
      </c>
      <c r="H210" s="137">
        <f t="shared" si="18"/>
        <v>0</v>
      </c>
      <c r="I210" s="6"/>
      <c r="J210" s="174">
        <f>SUM(J211)</f>
        <v>0</v>
      </c>
      <c r="K210" s="174">
        <f>SUM(K211)</f>
        <v>0</v>
      </c>
    </row>
    <row r="211" spans="1:11" ht="12.75" customHeight="1" hidden="1">
      <c r="A211" s="120" t="s">
        <v>27</v>
      </c>
      <c r="B211" s="123"/>
      <c r="C211" s="90">
        <v>414100</v>
      </c>
      <c r="D211" s="87" t="s">
        <v>409</v>
      </c>
      <c r="E211" s="143">
        <v>0</v>
      </c>
      <c r="F211" s="143">
        <v>0</v>
      </c>
      <c r="G211" s="136">
        <f t="shared" si="17"/>
        <v>0</v>
      </c>
      <c r="H211" s="137">
        <f t="shared" si="18"/>
        <v>0</v>
      </c>
      <c r="I211" s="6"/>
      <c r="J211" s="143">
        <v>0</v>
      </c>
      <c r="K211" s="143">
        <v>0</v>
      </c>
    </row>
    <row r="212" spans="1:11" ht="12.75">
      <c r="A212" s="120"/>
      <c r="B212" s="47">
        <v>415000</v>
      </c>
      <c r="C212" s="90"/>
      <c r="D212" s="86" t="s">
        <v>131</v>
      </c>
      <c r="E212" s="174">
        <f>SUM(E213:E213)</f>
        <v>20000</v>
      </c>
      <c r="F212" s="136">
        <f>SUM(F213:F213)</f>
        <v>10000</v>
      </c>
      <c r="G212" s="136">
        <f t="shared" si="17"/>
        <v>50</v>
      </c>
      <c r="H212" s="137">
        <f t="shared" si="18"/>
        <v>0.03281916639317361</v>
      </c>
      <c r="I212" s="6"/>
      <c r="J212" s="174">
        <f>SUM(J213:J213)</f>
        <v>25000</v>
      </c>
      <c r="K212" s="174">
        <f>SUM(K213:K213)</f>
        <v>0</v>
      </c>
    </row>
    <row r="213" spans="1:11" ht="25.5">
      <c r="A213" s="120" t="s">
        <v>35</v>
      </c>
      <c r="B213" s="47"/>
      <c r="C213" s="90">
        <v>415200</v>
      </c>
      <c r="D213" s="87" t="s">
        <v>530</v>
      </c>
      <c r="E213" s="187">
        <v>20000</v>
      </c>
      <c r="F213" s="187">
        <v>10000</v>
      </c>
      <c r="G213" s="139">
        <f t="shared" si="17"/>
        <v>50</v>
      </c>
      <c r="H213" s="206">
        <f t="shared" si="18"/>
        <v>0.03281916639317361</v>
      </c>
      <c r="I213" s="6"/>
      <c r="J213" s="187">
        <v>25000</v>
      </c>
      <c r="K213" s="187"/>
    </row>
    <row r="214" spans="1:11" ht="12.75">
      <c r="A214" s="122"/>
      <c r="B214" s="47">
        <v>416000</v>
      </c>
      <c r="C214" s="90"/>
      <c r="D214" s="307" t="s">
        <v>1</v>
      </c>
      <c r="E214" s="174">
        <f>SUM(E215)</f>
        <v>600</v>
      </c>
      <c r="F214" s="136">
        <f>SUM(F215)</f>
        <v>600</v>
      </c>
      <c r="G214" s="136">
        <f t="shared" si="17"/>
        <v>100</v>
      </c>
      <c r="H214" s="137">
        <f t="shared" si="18"/>
        <v>0.001969149983590417</v>
      </c>
      <c r="I214" s="6"/>
      <c r="J214" s="174">
        <f>SUM(J215)</f>
        <v>600</v>
      </c>
      <c r="K214" s="174">
        <f>SUM(K215)</f>
        <v>0</v>
      </c>
    </row>
    <row r="215" spans="1:11" ht="25.5">
      <c r="A215" s="122" t="s">
        <v>27</v>
      </c>
      <c r="B215" s="123"/>
      <c r="C215" s="90">
        <v>416100</v>
      </c>
      <c r="D215" s="116" t="s">
        <v>409</v>
      </c>
      <c r="E215" s="145">
        <v>600</v>
      </c>
      <c r="F215" s="145">
        <v>600</v>
      </c>
      <c r="G215" s="139">
        <f t="shared" si="17"/>
        <v>100</v>
      </c>
      <c r="H215" s="206">
        <f t="shared" si="18"/>
        <v>0.001969149983590417</v>
      </c>
      <c r="I215" s="6"/>
      <c r="J215" s="145">
        <v>600</v>
      </c>
      <c r="K215" s="145"/>
    </row>
    <row r="216" spans="1:11" ht="12.75">
      <c r="A216" s="120"/>
      <c r="B216" s="47">
        <v>511000</v>
      </c>
      <c r="C216" s="123"/>
      <c r="D216" s="134" t="s">
        <v>133</v>
      </c>
      <c r="E216" s="174">
        <f>SUM(E219:E221)</f>
        <v>5000</v>
      </c>
      <c r="F216" s="136">
        <f>SUM(F217:F219)</f>
        <v>135000</v>
      </c>
      <c r="G216" s="136">
        <f t="shared" si="17"/>
        <v>2700</v>
      </c>
      <c r="H216" s="137">
        <f t="shared" si="18"/>
        <v>0.4430587463078438</v>
      </c>
      <c r="I216" s="6"/>
      <c r="J216" s="174">
        <f>SUM(J219:J221)</f>
        <v>13500</v>
      </c>
      <c r="K216" s="174">
        <f>SUM(K219:K220)</f>
        <v>0</v>
      </c>
    </row>
    <row r="217" spans="1:11" ht="12.75">
      <c r="A217" s="120" t="s">
        <v>35</v>
      </c>
      <c r="B217" s="47"/>
      <c r="C217" s="204">
        <v>511100</v>
      </c>
      <c r="D217" s="205" t="s">
        <v>580</v>
      </c>
      <c r="E217" s="143">
        <v>0</v>
      </c>
      <c r="F217" s="143">
        <v>100000</v>
      </c>
      <c r="G217" s="139">
        <f>IF(E217&gt;0,F217/E217*100,0)</f>
        <v>0</v>
      </c>
      <c r="H217" s="206">
        <f t="shared" si="18"/>
        <v>0.32819166393173616</v>
      </c>
      <c r="I217" s="6"/>
      <c r="J217" s="136"/>
      <c r="K217" s="136"/>
    </row>
    <row r="218" spans="1:11" ht="12.75">
      <c r="A218" s="120" t="s">
        <v>30</v>
      </c>
      <c r="B218" s="47"/>
      <c r="C218" s="204">
        <v>511100</v>
      </c>
      <c r="D218" s="205" t="s">
        <v>588</v>
      </c>
      <c r="E218" s="143">
        <v>0</v>
      </c>
      <c r="F218" s="143">
        <v>30000</v>
      </c>
      <c r="G218" s="139">
        <f>IF(E218&gt;0,F218/E218*100,0)</f>
        <v>0</v>
      </c>
      <c r="H218" s="206">
        <f aca="true" t="shared" si="19" ref="H218:H243">F218/$F$587*100</f>
        <v>0.09845749917952085</v>
      </c>
      <c r="I218" s="6"/>
      <c r="J218" s="136"/>
      <c r="K218" s="136"/>
    </row>
    <row r="219" spans="1:11" ht="23.25" customHeight="1">
      <c r="A219" s="120" t="s">
        <v>35</v>
      </c>
      <c r="B219" s="123"/>
      <c r="C219" s="197">
        <v>511200</v>
      </c>
      <c r="D219" s="116" t="s">
        <v>620</v>
      </c>
      <c r="E219" s="187">
        <v>5000</v>
      </c>
      <c r="F219" s="187">
        <v>5000</v>
      </c>
      <c r="G219" s="139">
        <f t="shared" si="17"/>
        <v>100</v>
      </c>
      <c r="H219" s="206">
        <f t="shared" si="19"/>
        <v>0.016409583196586804</v>
      </c>
      <c r="I219" s="6"/>
      <c r="J219" s="145">
        <v>10000</v>
      </c>
      <c r="K219" s="145"/>
    </row>
    <row r="220" spans="1:11" ht="18.75" customHeight="1" hidden="1">
      <c r="A220" s="120" t="s">
        <v>553</v>
      </c>
      <c r="B220" s="123"/>
      <c r="C220" s="197">
        <v>511300</v>
      </c>
      <c r="D220" s="116" t="s">
        <v>554</v>
      </c>
      <c r="E220" s="145">
        <v>0</v>
      </c>
      <c r="F220" s="145">
        <v>0</v>
      </c>
      <c r="G220" s="139">
        <f t="shared" si="17"/>
        <v>0</v>
      </c>
      <c r="H220" s="206">
        <f t="shared" si="19"/>
        <v>0</v>
      </c>
      <c r="I220" s="6"/>
      <c r="J220" s="145">
        <v>0</v>
      </c>
      <c r="K220" s="145"/>
    </row>
    <row r="221" spans="1:11" ht="20.25" customHeight="1" hidden="1">
      <c r="A221" s="120" t="s">
        <v>35</v>
      </c>
      <c r="B221" s="123"/>
      <c r="C221" s="197">
        <v>511300</v>
      </c>
      <c r="D221" s="116" t="s">
        <v>576</v>
      </c>
      <c r="E221" s="145">
        <v>0</v>
      </c>
      <c r="F221" s="145">
        <v>0</v>
      </c>
      <c r="G221" s="139">
        <f t="shared" si="17"/>
        <v>0</v>
      </c>
      <c r="H221" s="206">
        <f t="shared" si="19"/>
        <v>0</v>
      </c>
      <c r="I221" s="6"/>
      <c r="J221" s="145">
        <v>3500</v>
      </c>
      <c r="K221" s="145"/>
    </row>
    <row r="222" spans="1:11" ht="16.5" customHeight="1">
      <c r="A222" s="120"/>
      <c r="B222" s="123"/>
      <c r="C222" s="79"/>
      <c r="D222" s="86" t="s">
        <v>377</v>
      </c>
      <c r="E222" s="174">
        <f>E223+E233</f>
        <v>2233000</v>
      </c>
      <c r="F222" s="136">
        <f>F223+F233</f>
        <v>3300000</v>
      </c>
      <c r="G222" s="136">
        <f t="shared" si="17"/>
        <v>147.7832512315271</v>
      </c>
      <c r="H222" s="137">
        <f t="shared" si="19"/>
        <v>10.830324909747292</v>
      </c>
      <c r="I222" s="6"/>
      <c r="J222" s="174">
        <f>J223+J233</f>
        <v>1293200</v>
      </c>
      <c r="K222" s="174">
        <f>K223+K233</f>
        <v>0</v>
      </c>
    </row>
    <row r="223" spans="1:11" ht="14.25" customHeight="1">
      <c r="A223" s="120"/>
      <c r="B223" s="123"/>
      <c r="C223" s="79"/>
      <c r="D223" s="86" t="s">
        <v>275</v>
      </c>
      <c r="E223" s="200">
        <f>SUM(E224:E232)</f>
        <v>933000</v>
      </c>
      <c r="F223" s="201">
        <f>SUM(F224:F232)</f>
        <v>600000</v>
      </c>
      <c r="G223" s="201">
        <f t="shared" si="17"/>
        <v>64.30868167202573</v>
      </c>
      <c r="H223" s="385">
        <f t="shared" si="19"/>
        <v>1.9691499835904167</v>
      </c>
      <c r="I223" s="6"/>
      <c r="J223" s="200">
        <f>SUM(J226:J231)</f>
        <v>443200</v>
      </c>
      <c r="K223" s="200">
        <f>SUM(K226:K231)</f>
        <v>0</v>
      </c>
    </row>
    <row r="224" spans="1:11" ht="15.75" customHeight="1">
      <c r="A224" s="202" t="s">
        <v>35</v>
      </c>
      <c r="B224" s="203"/>
      <c r="C224" s="204">
        <v>511100</v>
      </c>
      <c r="D224" s="205" t="s">
        <v>580</v>
      </c>
      <c r="E224" s="145">
        <v>100000</v>
      </c>
      <c r="F224" s="145">
        <v>0</v>
      </c>
      <c r="G224" s="139">
        <f t="shared" si="17"/>
        <v>0</v>
      </c>
      <c r="H224" s="206">
        <f t="shared" si="19"/>
        <v>0</v>
      </c>
      <c r="I224" s="17"/>
      <c r="J224" s="145">
        <v>0</v>
      </c>
      <c r="K224" s="145">
        <v>0</v>
      </c>
    </row>
    <row r="225" spans="1:11" ht="15.75" customHeight="1">
      <c r="A225" s="202" t="s">
        <v>30</v>
      </c>
      <c r="B225" s="203"/>
      <c r="C225" s="204">
        <v>511100</v>
      </c>
      <c r="D225" s="205" t="s">
        <v>588</v>
      </c>
      <c r="E225" s="145">
        <v>40000</v>
      </c>
      <c r="F225" s="145">
        <v>0</v>
      </c>
      <c r="G225" s="139">
        <f t="shared" si="17"/>
        <v>0</v>
      </c>
      <c r="H225" s="206">
        <f t="shared" si="19"/>
        <v>0</v>
      </c>
      <c r="I225" s="17"/>
      <c r="J225" s="145"/>
      <c r="K225" s="145"/>
    </row>
    <row r="226" spans="1:11" ht="38.25">
      <c r="A226" s="202" t="s">
        <v>35</v>
      </c>
      <c r="B226" s="203"/>
      <c r="C226" s="204">
        <v>511200</v>
      </c>
      <c r="D226" s="205" t="s">
        <v>268</v>
      </c>
      <c r="E226" s="187">
        <v>693000</v>
      </c>
      <c r="F226" s="145">
        <v>600000</v>
      </c>
      <c r="G226" s="139">
        <f t="shared" si="17"/>
        <v>86.58008658008657</v>
      </c>
      <c r="H226" s="206">
        <f t="shared" si="19"/>
        <v>1.9691499835904167</v>
      </c>
      <c r="I226" s="312"/>
      <c r="J226" s="187">
        <v>443200</v>
      </c>
      <c r="K226" s="187"/>
    </row>
    <row r="227" spans="1:11" ht="38.25" hidden="1">
      <c r="A227" s="202" t="s">
        <v>35</v>
      </c>
      <c r="B227" s="203"/>
      <c r="C227" s="204">
        <v>511200</v>
      </c>
      <c r="D227" s="205" t="s">
        <v>585</v>
      </c>
      <c r="E227" s="187">
        <v>0</v>
      </c>
      <c r="F227" s="187"/>
      <c r="G227" s="139">
        <f t="shared" si="17"/>
        <v>0</v>
      </c>
      <c r="H227" s="206">
        <f t="shared" si="19"/>
        <v>0</v>
      </c>
      <c r="I227" s="312"/>
      <c r="J227" s="187"/>
      <c r="K227" s="187"/>
    </row>
    <row r="228" spans="1:11" ht="38.25" hidden="1">
      <c r="A228" s="202" t="s">
        <v>35</v>
      </c>
      <c r="B228" s="203"/>
      <c r="C228" s="204">
        <v>511200</v>
      </c>
      <c r="D228" s="205" t="s">
        <v>584</v>
      </c>
      <c r="E228" s="187">
        <v>0</v>
      </c>
      <c r="F228" s="187"/>
      <c r="G228" s="139">
        <f t="shared" si="17"/>
        <v>0</v>
      </c>
      <c r="H228" s="206">
        <f t="shared" si="19"/>
        <v>0</v>
      </c>
      <c r="I228" s="312"/>
      <c r="J228" s="187"/>
      <c r="K228" s="187"/>
    </row>
    <row r="229" spans="1:11" ht="38.25" hidden="1">
      <c r="A229" s="202" t="s">
        <v>35</v>
      </c>
      <c r="B229" s="203"/>
      <c r="C229" s="204">
        <v>511200</v>
      </c>
      <c r="D229" s="205" t="s">
        <v>586</v>
      </c>
      <c r="E229" s="187">
        <v>0</v>
      </c>
      <c r="F229" s="187"/>
      <c r="G229" s="139">
        <f t="shared" si="17"/>
        <v>0</v>
      </c>
      <c r="H229" s="206">
        <f t="shared" si="19"/>
        <v>0</v>
      </c>
      <c r="I229" s="312"/>
      <c r="J229" s="187"/>
      <c r="K229" s="187"/>
    </row>
    <row r="230" spans="1:11" ht="12.75" hidden="1">
      <c r="A230" s="364" t="s">
        <v>35</v>
      </c>
      <c r="B230" s="365"/>
      <c r="C230" s="366">
        <v>511200</v>
      </c>
      <c r="D230" s="367" t="s">
        <v>522</v>
      </c>
      <c r="E230" s="187">
        <v>0</v>
      </c>
      <c r="F230" s="187"/>
      <c r="G230" s="139">
        <f t="shared" si="17"/>
        <v>0</v>
      </c>
      <c r="H230" s="206">
        <f t="shared" si="19"/>
        <v>0</v>
      </c>
      <c r="I230" s="312"/>
      <c r="J230" s="187"/>
      <c r="K230" s="187"/>
    </row>
    <row r="231" spans="1:11" ht="12.75" hidden="1">
      <c r="A231" s="364" t="s">
        <v>35</v>
      </c>
      <c r="B231" s="365"/>
      <c r="C231" s="366">
        <v>511200</v>
      </c>
      <c r="D231" s="367" t="s">
        <v>520</v>
      </c>
      <c r="E231" s="187">
        <v>0</v>
      </c>
      <c r="F231" s="187"/>
      <c r="G231" s="139">
        <f t="shared" si="17"/>
        <v>0</v>
      </c>
      <c r="H231" s="206">
        <f t="shared" si="19"/>
        <v>0</v>
      </c>
      <c r="I231" s="312"/>
      <c r="J231" s="187"/>
      <c r="K231" s="187"/>
    </row>
    <row r="232" spans="1:11" ht="25.5">
      <c r="A232" s="207" t="s">
        <v>35</v>
      </c>
      <c r="B232" s="203"/>
      <c r="C232" s="204">
        <v>511200</v>
      </c>
      <c r="D232" s="377" t="s">
        <v>669</v>
      </c>
      <c r="E232" s="187">
        <v>100000</v>
      </c>
      <c r="F232" s="187">
        <v>0</v>
      </c>
      <c r="G232" s="139">
        <f t="shared" si="17"/>
        <v>0</v>
      </c>
      <c r="H232" s="206">
        <f t="shared" si="19"/>
        <v>0</v>
      </c>
      <c r="I232" s="312"/>
      <c r="J232" s="187"/>
      <c r="K232" s="187"/>
    </row>
    <row r="233" spans="1:11" ht="12.75">
      <c r="A233" s="207"/>
      <c r="B233" s="203"/>
      <c r="C233" s="204"/>
      <c r="D233" s="322" t="s">
        <v>451</v>
      </c>
      <c r="E233" s="323">
        <f>SUM(E234:E239)</f>
        <v>1300000</v>
      </c>
      <c r="F233" s="323">
        <f>SUM(F234:F239)</f>
        <v>2700000</v>
      </c>
      <c r="G233" s="324">
        <f t="shared" si="17"/>
        <v>207.6923076923077</v>
      </c>
      <c r="H233" s="325">
        <f t="shared" si="19"/>
        <v>8.861174926156876</v>
      </c>
      <c r="I233" s="6"/>
      <c r="J233" s="323">
        <f>SUM(J234:J239)</f>
        <v>850000</v>
      </c>
      <c r="K233" s="323">
        <f>SUM(K234:K239)</f>
        <v>0</v>
      </c>
    </row>
    <row r="234" spans="1:11" ht="51">
      <c r="A234" s="207" t="s">
        <v>35</v>
      </c>
      <c r="B234" s="203"/>
      <c r="C234" s="204">
        <v>511200</v>
      </c>
      <c r="D234" s="377" t="s">
        <v>644</v>
      </c>
      <c r="E234" s="319">
        <v>0</v>
      </c>
      <c r="F234" s="319">
        <v>2700000</v>
      </c>
      <c r="G234" s="139">
        <f t="shared" si="17"/>
        <v>0</v>
      </c>
      <c r="H234" s="206">
        <f t="shared" si="19"/>
        <v>8.861174926156876</v>
      </c>
      <c r="I234" s="6"/>
      <c r="J234" s="319">
        <v>0</v>
      </c>
      <c r="K234" s="319"/>
    </row>
    <row r="235" spans="1:11" ht="12.75">
      <c r="A235" s="207" t="s">
        <v>35</v>
      </c>
      <c r="B235" s="203"/>
      <c r="C235" s="204">
        <v>511200</v>
      </c>
      <c r="D235" s="377" t="s">
        <v>526</v>
      </c>
      <c r="E235" s="319">
        <v>850000</v>
      </c>
      <c r="F235" s="319">
        <v>0</v>
      </c>
      <c r="G235" s="139">
        <f t="shared" si="17"/>
        <v>0</v>
      </c>
      <c r="H235" s="206">
        <f t="shared" si="19"/>
        <v>0</v>
      </c>
      <c r="I235" s="6"/>
      <c r="J235" s="319">
        <v>850000</v>
      </c>
      <c r="K235" s="319"/>
    </row>
    <row r="236" spans="1:11" ht="12.75" hidden="1">
      <c r="A236" s="207" t="s">
        <v>35</v>
      </c>
      <c r="B236" s="203"/>
      <c r="C236" s="204">
        <v>511200</v>
      </c>
      <c r="D236" s="377" t="s">
        <v>527</v>
      </c>
      <c r="E236" s="319">
        <v>0</v>
      </c>
      <c r="F236" s="319"/>
      <c r="G236" s="139">
        <f t="shared" si="17"/>
        <v>0</v>
      </c>
      <c r="H236" s="206">
        <f t="shared" si="19"/>
        <v>0</v>
      </c>
      <c r="I236" s="6"/>
      <c r="J236" s="319">
        <v>0</v>
      </c>
      <c r="K236" s="319"/>
    </row>
    <row r="237" spans="1:11" ht="25.5" hidden="1">
      <c r="A237" s="207" t="s">
        <v>35</v>
      </c>
      <c r="B237" s="203"/>
      <c r="C237" s="204">
        <v>511200</v>
      </c>
      <c r="D237" s="377" t="s">
        <v>534</v>
      </c>
      <c r="E237" s="319">
        <v>0</v>
      </c>
      <c r="F237" s="319"/>
      <c r="G237" s="139">
        <f t="shared" si="17"/>
        <v>0</v>
      </c>
      <c r="H237" s="206">
        <f t="shared" si="19"/>
        <v>0</v>
      </c>
      <c r="I237" s="6"/>
      <c r="J237" s="319">
        <v>0</v>
      </c>
      <c r="K237" s="319"/>
    </row>
    <row r="238" spans="1:11" ht="25.5">
      <c r="A238" s="207" t="s">
        <v>35</v>
      </c>
      <c r="B238" s="203"/>
      <c r="C238" s="204">
        <v>511200</v>
      </c>
      <c r="D238" s="377" t="s">
        <v>643</v>
      </c>
      <c r="E238" s="319">
        <v>250000</v>
      </c>
      <c r="F238" s="319">
        <v>0</v>
      </c>
      <c r="G238" s="139">
        <f t="shared" si="17"/>
        <v>0</v>
      </c>
      <c r="H238" s="206">
        <f t="shared" si="19"/>
        <v>0</v>
      </c>
      <c r="I238" s="413"/>
      <c r="J238" s="319"/>
      <c r="K238" s="319"/>
    </row>
    <row r="239" spans="1:11" ht="39" customHeight="1">
      <c r="A239" s="207" t="s">
        <v>35</v>
      </c>
      <c r="B239" s="203"/>
      <c r="C239" s="204">
        <v>511200</v>
      </c>
      <c r="D239" s="377" t="s">
        <v>528</v>
      </c>
      <c r="E239" s="319">
        <v>200000</v>
      </c>
      <c r="F239" s="319">
        <v>0</v>
      </c>
      <c r="G239" s="139">
        <f t="shared" si="17"/>
        <v>0</v>
      </c>
      <c r="H239" s="206">
        <f t="shared" si="19"/>
        <v>0</v>
      </c>
      <c r="I239" s="414"/>
      <c r="J239" s="319"/>
      <c r="K239" s="319"/>
    </row>
    <row r="240" spans="1:11" ht="12.75" customHeight="1" hidden="1">
      <c r="A240" s="207"/>
      <c r="B240" s="203"/>
      <c r="C240" s="204"/>
      <c r="D240" s="322"/>
      <c r="E240" s="376"/>
      <c r="F240" s="376"/>
      <c r="G240" s="136">
        <f t="shared" si="17"/>
        <v>0</v>
      </c>
      <c r="H240" s="137">
        <f t="shared" si="19"/>
        <v>0</v>
      </c>
      <c r="I240" s="6"/>
      <c r="J240" s="376"/>
      <c r="K240" s="376"/>
    </row>
    <row r="241" spans="1:11" ht="36" customHeight="1" hidden="1">
      <c r="A241" s="207" t="s">
        <v>35</v>
      </c>
      <c r="B241" s="203"/>
      <c r="C241" s="204">
        <v>511200</v>
      </c>
      <c r="D241" s="205" t="s">
        <v>268</v>
      </c>
      <c r="E241" s="145">
        <v>0</v>
      </c>
      <c r="F241" s="145">
        <v>0</v>
      </c>
      <c r="G241" s="136">
        <f t="shared" si="17"/>
        <v>0</v>
      </c>
      <c r="H241" s="137">
        <f t="shared" si="19"/>
        <v>0</v>
      </c>
      <c r="I241" s="6"/>
      <c r="J241" s="145">
        <v>0</v>
      </c>
      <c r="K241" s="145">
        <v>0</v>
      </c>
    </row>
    <row r="242" spans="1:11" ht="14.25" customHeight="1" hidden="1">
      <c r="A242" s="208" t="s">
        <v>35</v>
      </c>
      <c r="B242" s="209"/>
      <c r="C242" s="71">
        <v>511200</v>
      </c>
      <c r="D242" s="116" t="s">
        <v>183</v>
      </c>
      <c r="E242" s="145">
        <v>0</v>
      </c>
      <c r="F242" s="145">
        <v>0</v>
      </c>
      <c r="G242" s="136">
        <f t="shared" si="17"/>
        <v>0</v>
      </c>
      <c r="H242" s="137">
        <f t="shared" si="19"/>
        <v>0</v>
      </c>
      <c r="I242" s="6"/>
      <c r="J242" s="145">
        <v>0</v>
      </c>
      <c r="K242" s="145">
        <v>0</v>
      </c>
    </row>
    <row r="243" spans="1:11" ht="27" customHeight="1">
      <c r="A243" s="547"/>
      <c r="B243" s="548"/>
      <c r="C243" s="524" t="s">
        <v>80</v>
      </c>
      <c r="D243" s="525"/>
      <c r="E243" s="158">
        <f>E186+E194+E203+E210+E212+E214+E216+E222</f>
        <v>3249900</v>
      </c>
      <c r="F243" s="439">
        <f>F186+F194+F203+F210+F212+F214+F216+F222</f>
        <v>4733900</v>
      </c>
      <c r="G243" s="359">
        <f t="shared" si="17"/>
        <v>145.66294347518385</v>
      </c>
      <c r="H243" s="387">
        <f t="shared" si="19"/>
        <v>15.536265178864456</v>
      </c>
      <c r="I243" s="6"/>
      <c r="J243" s="158">
        <f>J186+J194+J203+J210+J212+J214+J216+J222</f>
        <v>2810600</v>
      </c>
      <c r="K243" s="440">
        <f>K186+K194+K203+K210+K212+K214+K216+K222</f>
        <v>0</v>
      </c>
    </row>
    <row r="244" spans="1:11" ht="9.75" customHeight="1">
      <c r="A244" s="522"/>
      <c r="B244" s="523"/>
      <c r="C244" s="526" t="s">
        <v>500</v>
      </c>
      <c r="D244" s="526"/>
      <c r="E244" s="149"/>
      <c r="F244" s="149"/>
      <c r="G244" s="149"/>
      <c r="H244" s="150"/>
      <c r="I244" s="6"/>
      <c r="J244" s="149"/>
      <c r="K244" s="149"/>
    </row>
    <row r="245" spans="1:11" ht="9.75" customHeight="1">
      <c r="A245" s="522"/>
      <c r="B245" s="523"/>
      <c r="C245" s="526"/>
      <c r="D245" s="526"/>
      <c r="E245" s="151"/>
      <c r="F245" s="151"/>
      <c r="G245" s="151"/>
      <c r="H245" s="152"/>
      <c r="I245" s="6"/>
      <c r="J245" s="151"/>
      <c r="K245" s="151"/>
    </row>
    <row r="246" spans="1:11" ht="15" customHeight="1">
      <c r="A246" s="522"/>
      <c r="B246" s="523"/>
      <c r="C246" s="526"/>
      <c r="D246" s="526"/>
      <c r="E246" s="6"/>
      <c r="F246" s="6"/>
      <c r="G246" s="151"/>
      <c r="H246" s="152"/>
      <c r="I246" s="6"/>
      <c r="J246" s="151"/>
      <c r="K246" s="151"/>
    </row>
    <row r="247" spans="1:11" ht="9" customHeight="1">
      <c r="A247" s="522"/>
      <c r="B247" s="523"/>
      <c r="C247" s="526"/>
      <c r="D247" s="526"/>
      <c r="E247" s="153"/>
      <c r="F247" s="153"/>
      <c r="G247" s="153"/>
      <c r="H247" s="154"/>
      <c r="I247" s="6"/>
      <c r="J247" s="153"/>
      <c r="K247" s="153"/>
    </row>
    <row r="248" spans="1:11" ht="16.5" customHeight="1">
      <c r="A248" s="120"/>
      <c r="B248" s="47">
        <v>412000</v>
      </c>
      <c r="C248" s="60"/>
      <c r="D248" s="134" t="s">
        <v>117</v>
      </c>
      <c r="E248" s="136">
        <f>SUM(E249:E251)</f>
        <v>6300</v>
      </c>
      <c r="F248" s="136">
        <f>SUM(F249:F251)</f>
        <v>6500</v>
      </c>
      <c r="G248" s="136">
        <f aca="true" t="shared" si="20" ref="G248:G272">IF(E248&gt;0,F248/E248*100,0)</f>
        <v>103.17460317460319</v>
      </c>
      <c r="H248" s="137">
        <f aca="true" t="shared" si="21" ref="H248:H272">F248/$F$587*100</f>
        <v>0.021332458155562846</v>
      </c>
      <c r="I248" s="6"/>
      <c r="J248" s="174">
        <f>SUM(J249:J251)</f>
        <v>7700</v>
      </c>
      <c r="K248" s="174">
        <f>SUM(K249:K251)</f>
        <v>3000</v>
      </c>
    </row>
    <row r="249" spans="1:11" ht="14.25" customHeight="1">
      <c r="A249" s="120" t="s">
        <v>30</v>
      </c>
      <c r="B249" s="123"/>
      <c r="C249" s="60">
        <v>412500</v>
      </c>
      <c r="D249" s="87" t="s">
        <v>114</v>
      </c>
      <c r="E249" s="139">
        <v>5000</v>
      </c>
      <c r="F249" s="139">
        <v>5000</v>
      </c>
      <c r="G249" s="139">
        <f t="shared" si="20"/>
        <v>100</v>
      </c>
      <c r="H249" s="206">
        <f t="shared" si="21"/>
        <v>0.016409583196586804</v>
      </c>
      <c r="I249" s="6"/>
      <c r="J249" s="143">
        <v>7000</v>
      </c>
      <c r="K249" s="143">
        <v>3000</v>
      </c>
    </row>
    <row r="250" spans="1:11" ht="12.75" customHeight="1">
      <c r="A250" s="120" t="s">
        <v>22</v>
      </c>
      <c r="B250" s="123"/>
      <c r="C250" s="60">
        <v>412900</v>
      </c>
      <c r="D250" s="82" t="s">
        <v>0</v>
      </c>
      <c r="E250" s="143">
        <v>1000</v>
      </c>
      <c r="F250" s="143">
        <v>1000</v>
      </c>
      <c r="G250" s="139">
        <f t="shared" si="20"/>
        <v>100</v>
      </c>
      <c r="H250" s="206">
        <f t="shared" si="21"/>
        <v>0.0032819166393173614</v>
      </c>
      <c r="I250" s="6"/>
      <c r="J250" s="143">
        <v>400</v>
      </c>
      <c r="K250" s="143">
        <v>0</v>
      </c>
    </row>
    <row r="251" spans="1:11" ht="25.5" customHeight="1">
      <c r="A251" s="122" t="s">
        <v>31</v>
      </c>
      <c r="B251" s="123"/>
      <c r="C251" s="60">
        <v>412900</v>
      </c>
      <c r="D251" s="82" t="s">
        <v>102</v>
      </c>
      <c r="E251" s="143">
        <v>300</v>
      </c>
      <c r="F251" s="143">
        <v>500</v>
      </c>
      <c r="G251" s="139">
        <f t="shared" si="20"/>
        <v>166.66666666666669</v>
      </c>
      <c r="H251" s="206">
        <f t="shared" si="21"/>
        <v>0.0016409583196586807</v>
      </c>
      <c r="I251" s="6"/>
      <c r="J251" s="143">
        <v>300</v>
      </c>
      <c r="K251" s="143">
        <v>0</v>
      </c>
    </row>
    <row r="252" spans="1:11" ht="12.75" customHeight="1">
      <c r="A252" s="122"/>
      <c r="B252" s="146">
        <v>415000</v>
      </c>
      <c r="C252" s="60"/>
      <c r="D252" s="134" t="s">
        <v>131</v>
      </c>
      <c r="E252" s="174">
        <f>SUM(E253:E267)</f>
        <v>209000</v>
      </c>
      <c r="F252" s="136">
        <f>SUM(F253:F267)</f>
        <v>214500</v>
      </c>
      <c r="G252" s="136">
        <f t="shared" si="20"/>
        <v>102.63157894736842</v>
      </c>
      <c r="H252" s="137">
        <f t="shared" si="21"/>
        <v>0.703971119133574</v>
      </c>
      <c r="I252" s="6"/>
      <c r="J252" s="174">
        <f>SUM(J253:J267)</f>
        <v>203000</v>
      </c>
      <c r="K252" s="174">
        <f>SUM(K253:K267)</f>
        <v>241098.6</v>
      </c>
    </row>
    <row r="253" spans="1:11" ht="12.75" customHeight="1">
      <c r="A253" s="120" t="s">
        <v>41</v>
      </c>
      <c r="B253" s="123"/>
      <c r="C253" s="60">
        <v>415200</v>
      </c>
      <c r="D253" s="87" t="s">
        <v>646</v>
      </c>
      <c r="E253" s="145">
        <v>90000</v>
      </c>
      <c r="F253" s="145">
        <v>90000</v>
      </c>
      <c r="G253" s="139">
        <f t="shared" si="20"/>
        <v>100</v>
      </c>
      <c r="H253" s="206">
        <f t="shared" si="21"/>
        <v>0.29537249753856254</v>
      </c>
      <c r="I253" s="6"/>
      <c r="J253" s="145">
        <v>90000</v>
      </c>
      <c r="K253" s="145">
        <v>175000</v>
      </c>
    </row>
    <row r="254" spans="1:11" ht="12.75" customHeight="1" hidden="1">
      <c r="A254" s="120" t="s">
        <v>41</v>
      </c>
      <c r="B254" s="123"/>
      <c r="C254" s="60">
        <v>415200</v>
      </c>
      <c r="D254" s="87" t="s">
        <v>434</v>
      </c>
      <c r="E254" s="145"/>
      <c r="F254" s="145"/>
      <c r="G254" s="139">
        <f t="shared" si="20"/>
        <v>0</v>
      </c>
      <c r="H254" s="206">
        <f t="shared" si="21"/>
        <v>0</v>
      </c>
      <c r="I254" s="6"/>
      <c r="J254" s="145"/>
      <c r="K254" s="145"/>
    </row>
    <row r="255" spans="1:11" ht="12" customHeight="1" hidden="1">
      <c r="A255" s="120" t="s">
        <v>41</v>
      </c>
      <c r="B255" s="123"/>
      <c r="C255" s="60">
        <v>415200</v>
      </c>
      <c r="D255" s="87" t="s">
        <v>563</v>
      </c>
      <c r="E255" s="145">
        <v>0</v>
      </c>
      <c r="F255" s="145"/>
      <c r="G255" s="139">
        <f t="shared" si="20"/>
        <v>0</v>
      </c>
      <c r="H255" s="206">
        <f t="shared" si="21"/>
        <v>0</v>
      </c>
      <c r="I255" s="6"/>
      <c r="J255" s="145">
        <v>0</v>
      </c>
      <c r="K255" s="145"/>
    </row>
    <row r="256" spans="1:11" ht="12.75" customHeight="1">
      <c r="A256" s="120" t="s">
        <v>41</v>
      </c>
      <c r="B256" s="123"/>
      <c r="C256" s="60">
        <v>415200</v>
      </c>
      <c r="D256" s="82" t="s">
        <v>645</v>
      </c>
      <c r="E256" s="187">
        <v>20000</v>
      </c>
      <c r="F256" s="145">
        <v>20000</v>
      </c>
      <c r="G256" s="139">
        <f t="shared" si="20"/>
        <v>100</v>
      </c>
      <c r="H256" s="206">
        <f t="shared" si="21"/>
        <v>0.06563833278634722</v>
      </c>
      <c r="I256" s="6"/>
      <c r="J256" s="187">
        <v>20000</v>
      </c>
      <c r="K256" s="187">
        <v>36328.6</v>
      </c>
    </row>
    <row r="257" spans="1:11" ht="15.75" customHeight="1">
      <c r="A257" s="120" t="s">
        <v>41</v>
      </c>
      <c r="B257" s="123"/>
      <c r="C257" s="60">
        <v>415200</v>
      </c>
      <c r="D257" s="82" t="s">
        <v>660</v>
      </c>
      <c r="E257" s="145">
        <v>30000</v>
      </c>
      <c r="F257" s="145">
        <v>30000</v>
      </c>
      <c r="G257" s="139">
        <f t="shared" si="20"/>
        <v>100</v>
      </c>
      <c r="H257" s="206">
        <f t="shared" si="21"/>
        <v>0.09845749917952085</v>
      </c>
      <c r="I257" s="6"/>
      <c r="J257" s="145">
        <v>30000</v>
      </c>
      <c r="K257" s="145">
        <v>6500</v>
      </c>
    </row>
    <row r="258" spans="1:11" ht="27" customHeight="1">
      <c r="A258" s="120" t="s">
        <v>41</v>
      </c>
      <c r="B258" s="123"/>
      <c r="C258" s="60">
        <v>415200</v>
      </c>
      <c r="D258" s="82" t="s">
        <v>661</v>
      </c>
      <c r="E258" s="145">
        <v>6000</v>
      </c>
      <c r="F258" s="145">
        <v>6000</v>
      </c>
      <c r="G258" s="139">
        <f t="shared" si="20"/>
        <v>100</v>
      </c>
      <c r="H258" s="206">
        <f t="shared" si="21"/>
        <v>0.019691499835904167</v>
      </c>
      <c r="I258" s="6"/>
      <c r="J258" s="145"/>
      <c r="K258" s="145"/>
    </row>
    <row r="259" spans="1:11" ht="13.5" customHeight="1">
      <c r="A259" s="120" t="s">
        <v>41</v>
      </c>
      <c r="B259" s="123"/>
      <c r="C259" s="60">
        <v>415200</v>
      </c>
      <c r="D259" s="82" t="s">
        <v>258</v>
      </c>
      <c r="E259" s="145">
        <v>5000</v>
      </c>
      <c r="F259" s="145">
        <v>5000</v>
      </c>
      <c r="G259" s="139">
        <f t="shared" si="20"/>
        <v>100</v>
      </c>
      <c r="H259" s="206">
        <f t="shared" si="21"/>
        <v>0.016409583196586804</v>
      </c>
      <c r="I259" s="6"/>
      <c r="J259" s="145">
        <v>5000</v>
      </c>
      <c r="K259" s="145">
        <v>0</v>
      </c>
    </row>
    <row r="260" spans="1:11" ht="13.5" customHeight="1">
      <c r="A260" s="120" t="s">
        <v>41</v>
      </c>
      <c r="B260" s="123"/>
      <c r="C260" s="60">
        <v>415200</v>
      </c>
      <c r="D260" s="82" t="s">
        <v>190</v>
      </c>
      <c r="E260" s="145">
        <v>5000</v>
      </c>
      <c r="F260" s="145">
        <v>5000</v>
      </c>
      <c r="G260" s="139">
        <f t="shared" si="20"/>
        <v>100</v>
      </c>
      <c r="H260" s="206">
        <f t="shared" si="21"/>
        <v>0.016409583196586804</v>
      </c>
      <c r="I260" s="6"/>
      <c r="J260" s="145">
        <v>5000</v>
      </c>
      <c r="K260" s="145">
        <v>2000</v>
      </c>
    </row>
    <row r="261" spans="1:11" ht="11.25" customHeight="1" hidden="1">
      <c r="A261" s="120" t="s">
        <v>41</v>
      </c>
      <c r="B261" s="123"/>
      <c r="C261" s="60">
        <v>415200</v>
      </c>
      <c r="D261" s="82" t="s">
        <v>587</v>
      </c>
      <c r="E261" s="145">
        <v>0</v>
      </c>
      <c r="F261" s="145">
        <v>0</v>
      </c>
      <c r="G261" s="139">
        <f t="shared" si="20"/>
        <v>0</v>
      </c>
      <c r="H261" s="206">
        <f t="shared" si="21"/>
        <v>0</v>
      </c>
      <c r="I261" s="6"/>
      <c r="J261" s="145"/>
      <c r="K261" s="145"/>
    </row>
    <row r="262" spans="1:11" ht="13.5" customHeight="1">
      <c r="A262" s="120" t="s">
        <v>41</v>
      </c>
      <c r="B262" s="123"/>
      <c r="C262" s="60">
        <v>415200</v>
      </c>
      <c r="D262" s="82" t="s">
        <v>324</v>
      </c>
      <c r="E262" s="145">
        <v>5000</v>
      </c>
      <c r="F262" s="145">
        <v>5000</v>
      </c>
      <c r="G262" s="139">
        <f t="shared" si="20"/>
        <v>100</v>
      </c>
      <c r="H262" s="206">
        <f t="shared" si="21"/>
        <v>0.016409583196586804</v>
      </c>
      <c r="I262" s="6"/>
      <c r="J262" s="145">
        <v>5000</v>
      </c>
      <c r="K262" s="145">
        <v>1000</v>
      </c>
    </row>
    <row r="263" spans="1:11" ht="25.5">
      <c r="A263" s="120" t="s">
        <v>41</v>
      </c>
      <c r="B263" s="123"/>
      <c r="C263" s="60">
        <v>415200</v>
      </c>
      <c r="D263" s="82" t="s">
        <v>406</v>
      </c>
      <c r="E263" s="139">
        <v>7500</v>
      </c>
      <c r="F263" s="139">
        <v>7500</v>
      </c>
      <c r="G263" s="139">
        <f t="shared" si="20"/>
        <v>100</v>
      </c>
      <c r="H263" s="206">
        <f t="shared" si="21"/>
        <v>0.02461437479488021</v>
      </c>
      <c r="I263" s="6"/>
      <c r="J263" s="139">
        <v>7500</v>
      </c>
      <c r="K263" s="139">
        <v>0</v>
      </c>
    </row>
    <row r="264" spans="1:11" ht="14.25" customHeight="1" hidden="1">
      <c r="A264" s="120" t="s">
        <v>41</v>
      </c>
      <c r="B264" s="123"/>
      <c r="C264" s="60">
        <v>415200</v>
      </c>
      <c r="D264" s="82" t="s">
        <v>435</v>
      </c>
      <c r="E264" s="143"/>
      <c r="F264" s="143"/>
      <c r="G264" s="139">
        <f t="shared" si="20"/>
        <v>0</v>
      </c>
      <c r="H264" s="206">
        <f t="shared" si="21"/>
        <v>0</v>
      </c>
      <c r="I264" s="6"/>
      <c r="J264" s="143"/>
      <c r="K264" s="143"/>
    </row>
    <row r="265" spans="1:11" ht="24" customHeight="1">
      <c r="A265" s="122" t="s">
        <v>41</v>
      </c>
      <c r="B265" s="197"/>
      <c r="C265" s="71">
        <v>415200</v>
      </c>
      <c r="D265" s="116" t="s">
        <v>181</v>
      </c>
      <c r="E265" s="187">
        <v>40000</v>
      </c>
      <c r="F265" s="187">
        <v>45000</v>
      </c>
      <c r="G265" s="139">
        <f t="shared" si="20"/>
        <v>112.5</v>
      </c>
      <c r="H265" s="206">
        <f t="shared" si="21"/>
        <v>0.14768624876928127</v>
      </c>
      <c r="I265" s="6"/>
      <c r="J265" s="187">
        <v>40000</v>
      </c>
      <c r="K265" s="187">
        <v>20270</v>
      </c>
    </row>
    <row r="266" spans="1:11" ht="28.5" customHeight="1">
      <c r="A266" s="208" t="s">
        <v>41</v>
      </c>
      <c r="B266" s="197"/>
      <c r="C266" s="71">
        <v>415200</v>
      </c>
      <c r="D266" s="116" t="s">
        <v>280</v>
      </c>
      <c r="E266" s="143">
        <v>500</v>
      </c>
      <c r="F266" s="143">
        <v>1000</v>
      </c>
      <c r="G266" s="139">
        <f t="shared" si="20"/>
        <v>200</v>
      </c>
      <c r="H266" s="206">
        <f t="shared" si="21"/>
        <v>0.0032819166393173614</v>
      </c>
      <c r="I266" s="6"/>
      <c r="J266" s="143">
        <v>500</v>
      </c>
      <c r="K266" s="143"/>
    </row>
    <row r="267" spans="1:11" ht="12.75" customHeight="1" hidden="1">
      <c r="A267" s="208" t="s">
        <v>41</v>
      </c>
      <c r="B267" s="197"/>
      <c r="C267" s="71">
        <v>415200</v>
      </c>
      <c r="D267" s="116" t="s">
        <v>400</v>
      </c>
      <c r="E267" s="143"/>
      <c r="F267" s="143"/>
      <c r="G267" s="136">
        <f t="shared" si="20"/>
        <v>0</v>
      </c>
      <c r="H267" s="137">
        <f t="shared" si="21"/>
        <v>0</v>
      </c>
      <c r="I267" s="6"/>
      <c r="J267" s="143"/>
      <c r="K267" s="143"/>
    </row>
    <row r="268" spans="1:11" ht="14.25" customHeight="1">
      <c r="A268" s="208"/>
      <c r="B268" s="209">
        <v>416000</v>
      </c>
      <c r="C268" s="210"/>
      <c r="D268" s="199" t="s">
        <v>1</v>
      </c>
      <c r="E268" s="211">
        <f>SUM(E269:E269)</f>
        <v>50000</v>
      </c>
      <c r="F268" s="379">
        <f>SUM(F269:F269)</f>
        <v>50000</v>
      </c>
      <c r="G268" s="136">
        <f t="shared" si="20"/>
        <v>100</v>
      </c>
      <c r="H268" s="137">
        <f t="shared" si="21"/>
        <v>0.16409583196586808</v>
      </c>
      <c r="I268" s="18"/>
      <c r="J268" s="211">
        <f>SUM(J269:J269)</f>
        <v>45000</v>
      </c>
      <c r="K268" s="211">
        <f>SUM(K269:K269)</f>
        <v>0</v>
      </c>
    </row>
    <row r="269" spans="1:11" ht="15.75" customHeight="1">
      <c r="A269" s="208" t="s">
        <v>27</v>
      </c>
      <c r="B269" s="212"/>
      <c r="C269" s="71">
        <v>416100</v>
      </c>
      <c r="D269" s="116" t="s">
        <v>224</v>
      </c>
      <c r="E269" s="187">
        <v>50000</v>
      </c>
      <c r="F269" s="145">
        <v>50000</v>
      </c>
      <c r="G269" s="139">
        <f t="shared" si="20"/>
        <v>100</v>
      </c>
      <c r="H269" s="206">
        <f t="shared" si="21"/>
        <v>0.16409583196586808</v>
      </c>
      <c r="I269" s="18"/>
      <c r="J269" s="187">
        <v>45000</v>
      </c>
      <c r="K269" s="187"/>
    </row>
    <row r="270" spans="1:11" ht="14.25" customHeight="1" hidden="1">
      <c r="A270" s="120"/>
      <c r="B270" s="47">
        <v>487000</v>
      </c>
      <c r="C270" s="71"/>
      <c r="D270" s="134" t="s">
        <v>319</v>
      </c>
      <c r="E270" s="136">
        <f>SUM(E271)</f>
        <v>0</v>
      </c>
      <c r="F270" s="136">
        <f>SUM(F271)</f>
        <v>0</v>
      </c>
      <c r="G270" s="136">
        <f t="shared" si="20"/>
        <v>0</v>
      </c>
      <c r="H270" s="137">
        <f t="shared" si="21"/>
        <v>0</v>
      </c>
      <c r="I270" s="6"/>
      <c r="J270" s="136">
        <f>SUM(J271)</f>
        <v>0</v>
      </c>
      <c r="K270" s="136">
        <f>SUM(K271)</f>
        <v>0</v>
      </c>
    </row>
    <row r="271" spans="1:11" ht="12.75" hidden="1">
      <c r="A271" s="120" t="s">
        <v>27</v>
      </c>
      <c r="B271" s="47"/>
      <c r="C271" s="71">
        <v>487900</v>
      </c>
      <c r="D271" s="82" t="s">
        <v>533</v>
      </c>
      <c r="E271" s="143">
        <v>0</v>
      </c>
      <c r="F271" s="143"/>
      <c r="G271" s="139">
        <f t="shared" si="20"/>
        <v>0</v>
      </c>
      <c r="H271" s="206">
        <f t="shared" si="21"/>
        <v>0</v>
      </c>
      <c r="I271" s="6"/>
      <c r="J271" s="143">
        <v>0</v>
      </c>
      <c r="K271" s="143"/>
    </row>
    <row r="272" spans="1:11" ht="27" customHeight="1">
      <c r="A272" s="522"/>
      <c r="B272" s="523"/>
      <c r="C272" s="524" t="s">
        <v>81</v>
      </c>
      <c r="D272" s="525"/>
      <c r="E272" s="158">
        <f>E248+E252+E268+E270</f>
        <v>265300</v>
      </c>
      <c r="F272" s="439">
        <f>F248+F252+F268+F270</f>
        <v>271000</v>
      </c>
      <c r="G272" s="359">
        <f t="shared" si="20"/>
        <v>102.14851111948737</v>
      </c>
      <c r="H272" s="387">
        <f t="shared" si="21"/>
        <v>0.8893994092550049</v>
      </c>
      <c r="I272" s="6"/>
      <c r="J272" s="158">
        <f>J248+J252+J268+J270</f>
        <v>255700</v>
      </c>
      <c r="K272" s="440">
        <f>K248+K252+K268+K270</f>
        <v>244098.6</v>
      </c>
    </row>
    <row r="273" spans="1:11" ht="9.75" customHeight="1">
      <c r="A273" s="522"/>
      <c r="B273" s="523"/>
      <c r="C273" s="526" t="s">
        <v>499</v>
      </c>
      <c r="D273" s="527"/>
      <c r="E273" s="188"/>
      <c r="F273" s="188"/>
      <c r="G273" s="188"/>
      <c r="H273" s="189"/>
      <c r="I273" s="6"/>
      <c r="J273" s="188"/>
      <c r="K273" s="188"/>
    </row>
    <row r="274" spans="1:11" ht="9.75" customHeight="1">
      <c r="A274" s="522"/>
      <c r="B274" s="523"/>
      <c r="C274" s="527"/>
      <c r="D274" s="527"/>
      <c r="E274" s="190"/>
      <c r="F274" s="190"/>
      <c r="G274" s="190"/>
      <c r="H274" s="191"/>
      <c r="I274" s="6"/>
      <c r="J274" s="190"/>
      <c r="K274" s="190"/>
    </row>
    <row r="275" spans="1:11" ht="21" customHeight="1">
      <c r="A275" s="522"/>
      <c r="B275" s="523"/>
      <c r="C275" s="527"/>
      <c r="D275" s="527"/>
      <c r="E275" s="192"/>
      <c r="F275" s="192"/>
      <c r="G275" s="192"/>
      <c r="H275" s="193"/>
      <c r="I275" s="6"/>
      <c r="J275" s="192"/>
      <c r="K275" s="192"/>
    </row>
    <row r="276" spans="1:11" ht="14.25" customHeight="1">
      <c r="A276" s="120"/>
      <c r="B276" s="47">
        <v>412000</v>
      </c>
      <c r="C276" s="123"/>
      <c r="D276" s="134" t="s">
        <v>117</v>
      </c>
      <c r="E276" s="136">
        <f>SUM(E277:E282)</f>
        <v>42900</v>
      </c>
      <c r="F276" s="136">
        <f>SUM(F277:F282)</f>
        <v>27800</v>
      </c>
      <c r="G276" s="136">
        <f aca="true" t="shared" si="22" ref="G276:G285">IF(E276&gt;0,F276/E276*100,0)</f>
        <v>64.80186480186481</v>
      </c>
      <c r="H276" s="137">
        <f aca="true" t="shared" si="23" ref="H276:H282">F276/$F$587*100</f>
        <v>0.09123728257302265</v>
      </c>
      <c r="I276" s="6"/>
      <c r="J276" s="174">
        <f>SUM(J277:J282)</f>
        <v>33500</v>
      </c>
      <c r="K276" s="174">
        <f>SUM(K277:K282)</f>
        <v>88000</v>
      </c>
    </row>
    <row r="277" spans="1:11" ht="12.75">
      <c r="A277" s="120" t="s">
        <v>31</v>
      </c>
      <c r="B277" s="47"/>
      <c r="C277" s="60">
        <v>412700</v>
      </c>
      <c r="D277" s="116" t="s">
        <v>98</v>
      </c>
      <c r="E277" s="187">
        <v>10000</v>
      </c>
      <c r="F277" s="187">
        <v>0</v>
      </c>
      <c r="G277" s="139">
        <f t="shared" si="22"/>
        <v>0</v>
      </c>
      <c r="H277" s="206">
        <f t="shared" si="23"/>
        <v>0</v>
      </c>
      <c r="I277" s="6"/>
      <c r="J277" s="187">
        <v>9100</v>
      </c>
      <c r="K277" s="187">
        <v>76000</v>
      </c>
    </row>
    <row r="278" spans="1:11" ht="25.5">
      <c r="A278" s="120" t="s">
        <v>31</v>
      </c>
      <c r="B278" s="47"/>
      <c r="C278" s="60">
        <v>418400</v>
      </c>
      <c r="D278" s="87" t="s">
        <v>648</v>
      </c>
      <c r="E278" s="187">
        <v>6500</v>
      </c>
      <c r="F278" s="187">
        <v>0</v>
      </c>
      <c r="G278" s="139">
        <f>IF(E278&gt;0,F278/E278*100,0)</f>
        <v>0</v>
      </c>
      <c r="H278" s="206">
        <f t="shared" si="23"/>
        <v>0</v>
      </c>
      <c r="I278" s="6"/>
      <c r="J278" s="187"/>
      <c r="K278" s="187"/>
    </row>
    <row r="279" spans="1:11" ht="14.25" customHeight="1">
      <c r="A279" s="208" t="s">
        <v>31</v>
      </c>
      <c r="B279" s="197"/>
      <c r="C279" s="71">
        <v>412700</v>
      </c>
      <c r="D279" s="116" t="s">
        <v>111</v>
      </c>
      <c r="E279" s="187">
        <v>1000</v>
      </c>
      <c r="F279" s="187">
        <v>1400</v>
      </c>
      <c r="G279" s="139">
        <f t="shared" si="22"/>
        <v>140</v>
      </c>
      <c r="H279" s="206">
        <f t="shared" si="23"/>
        <v>0.004594683295044306</v>
      </c>
      <c r="I279" s="6"/>
      <c r="J279" s="187">
        <v>1000</v>
      </c>
      <c r="K279" s="187">
        <v>0</v>
      </c>
    </row>
    <row r="280" spans="1:11" ht="13.5" customHeight="1">
      <c r="A280" s="208" t="s">
        <v>31</v>
      </c>
      <c r="B280" s="197"/>
      <c r="C280" s="90">
        <v>412700</v>
      </c>
      <c r="D280" s="87" t="s">
        <v>176</v>
      </c>
      <c r="E280" s="187">
        <v>20000</v>
      </c>
      <c r="F280" s="187">
        <v>22000</v>
      </c>
      <c r="G280" s="139">
        <f t="shared" si="22"/>
        <v>110.00000000000001</v>
      </c>
      <c r="H280" s="206">
        <f t="shared" si="23"/>
        <v>0.07220216606498195</v>
      </c>
      <c r="I280" s="6"/>
      <c r="J280" s="145">
        <v>20000</v>
      </c>
      <c r="K280" s="145">
        <v>5000</v>
      </c>
    </row>
    <row r="281" spans="1:11" ht="24.75" customHeight="1">
      <c r="A281" s="122" t="s">
        <v>157</v>
      </c>
      <c r="B281" s="123"/>
      <c r="C281" s="90">
        <v>412700</v>
      </c>
      <c r="D281" s="87" t="s">
        <v>436</v>
      </c>
      <c r="E281" s="145">
        <v>5000</v>
      </c>
      <c r="F281" s="145">
        <v>4000</v>
      </c>
      <c r="G281" s="139">
        <f t="shared" si="22"/>
        <v>80</v>
      </c>
      <c r="H281" s="206">
        <f t="shared" si="23"/>
        <v>0.013127666557269446</v>
      </c>
      <c r="I281" s="6"/>
      <c r="J281" s="145">
        <v>3000</v>
      </c>
      <c r="K281" s="145">
        <v>7000</v>
      </c>
    </row>
    <row r="282" spans="1:11" ht="12.75" customHeight="1">
      <c r="A282" s="120" t="s">
        <v>22</v>
      </c>
      <c r="B282" s="123"/>
      <c r="C282" s="60">
        <v>412900</v>
      </c>
      <c r="D282" s="82" t="s">
        <v>42</v>
      </c>
      <c r="E282" s="139">
        <v>400</v>
      </c>
      <c r="F282" s="139">
        <v>400</v>
      </c>
      <c r="G282" s="139">
        <f t="shared" si="22"/>
        <v>100</v>
      </c>
      <c r="H282" s="206">
        <f t="shared" si="23"/>
        <v>0.0013127666557269445</v>
      </c>
      <c r="I282" s="6"/>
      <c r="J282" s="139">
        <v>400</v>
      </c>
      <c r="K282" s="139">
        <v>0</v>
      </c>
    </row>
    <row r="283" spans="1:11" ht="12.75" customHeight="1" hidden="1">
      <c r="A283" s="120"/>
      <c r="B283" s="123"/>
      <c r="C283" s="60"/>
      <c r="D283" s="82"/>
      <c r="E283" s="139"/>
      <c r="F283" s="139"/>
      <c r="G283" s="139"/>
      <c r="H283" s="206"/>
      <c r="I283" s="6"/>
      <c r="J283" s="139"/>
      <c r="K283" s="139"/>
    </row>
    <row r="284" spans="1:11" ht="12.75" customHeight="1" hidden="1">
      <c r="A284" s="120"/>
      <c r="B284" s="123"/>
      <c r="C284" s="60"/>
      <c r="D284" s="82"/>
      <c r="E284" s="139"/>
      <c r="F284" s="139"/>
      <c r="G284" s="139"/>
      <c r="H284" s="206"/>
      <c r="I284" s="6"/>
      <c r="J284" s="139"/>
      <c r="K284" s="139"/>
    </row>
    <row r="285" spans="1:11" ht="27.75" customHeight="1">
      <c r="A285" s="522"/>
      <c r="B285" s="523"/>
      <c r="C285" s="524" t="s">
        <v>82</v>
      </c>
      <c r="D285" s="524"/>
      <c r="E285" s="158">
        <f>E276</f>
        <v>42900</v>
      </c>
      <c r="F285" s="158">
        <f>F276</f>
        <v>27800</v>
      </c>
      <c r="G285" s="359">
        <f t="shared" si="22"/>
        <v>64.80186480186481</v>
      </c>
      <c r="H285" s="387">
        <f>F285/$F$587*100</f>
        <v>0.09123728257302265</v>
      </c>
      <c r="I285" s="6"/>
      <c r="J285" s="158">
        <f>J276</f>
        <v>33500</v>
      </c>
      <c r="K285" s="440">
        <f>K276</f>
        <v>88000</v>
      </c>
    </row>
    <row r="286" spans="1:11" ht="25.5" customHeight="1">
      <c r="A286" s="160"/>
      <c r="B286" s="161"/>
      <c r="C286" s="526" t="s">
        <v>498</v>
      </c>
      <c r="D286" s="527"/>
      <c r="E286" s="162"/>
      <c r="F286" s="162"/>
      <c r="G286" s="162"/>
      <c r="H286" s="163"/>
      <c r="I286" s="6"/>
      <c r="J286" s="162"/>
      <c r="K286" s="162"/>
    </row>
    <row r="287" spans="1:11" ht="15" customHeight="1">
      <c r="A287" s="168"/>
      <c r="B287" s="169"/>
      <c r="C287" s="527"/>
      <c r="D287" s="527"/>
      <c r="E287" s="170"/>
      <c r="F287" s="170"/>
      <c r="G287" s="170"/>
      <c r="H287" s="171"/>
      <c r="I287" s="6"/>
      <c r="J287" s="170"/>
      <c r="K287" s="170"/>
    </row>
    <row r="288" spans="1:11" ht="12.75">
      <c r="A288" s="120"/>
      <c r="B288" s="47">
        <v>412000</v>
      </c>
      <c r="C288" s="60"/>
      <c r="D288" s="134" t="s">
        <v>117</v>
      </c>
      <c r="E288" s="136">
        <f>SUM(E289:E297)</f>
        <v>415400</v>
      </c>
      <c r="F288" s="136">
        <f>SUM(F289:F297)</f>
        <v>418900</v>
      </c>
      <c r="G288" s="136">
        <f aca="true" t="shared" si="24" ref="G288:G303">IF(E288&gt;0,F288/E288*100,0)</f>
        <v>100.84256138661532</v>
      </c>
      <c r="H288" s="172">
        <f aca="true" t="shared" si="25" ref="H288:H303">F288/$F$587*100</f>
        <v>1.3747948802100427</v>
      </c>
      <c r="I288" s="6"/>
      <c r="J288" s="174">
        <f>SUM(J289:J297)</f>
        <v>430000</v>
      </c>
      <c r="K288" s="174">
        <f>SUM(K289:K297)</f>
        <v>0</v>
      </c>
    </row>
    <row r="289" spans="1:11" ht="25.5" customHeight="1">
      <c r="A289" s="120" t="s">
        <v>22</v>
      </c>
      <c r="B289" s="123"/>
      <c r="C289" s="60">
        <v>412200</v>
      </c>
      <c r="D289" s="82" t="s">
        <v>119</v>
      </c>
      <c r="E289" s="145">
        <v>240000</v>
      </c>
      <c r="F289" s="145">
        <v>240000</v>
      </c>
      <c r="G289" s="139">
        <f t="shared" si="24"/>
        <v>100</v>
      </c>
      <c r="H289" s="382">
        <f t="shared" si="25"/>
        <v>0.7876599934361668</v>
      </c>
      <c r="I289" s="6"/>
      <c r="J289" s="145">
        <v>240000</v>
      </c>
      <c r="K289" s="145"/>
    </row>
    <row r="290" spans="1:11" ht="12.75">
      <c r="A290" s="120" t="s">
        <v>22</v>
      </c>
      <c r="B290" s="123"/>
      <c r="C290" s="60">
        <v>412300</v>
      </c>
      <c r="D290" s="123" t="s">
        <v>120</v>
      </c>
      <c r="E290" s="143">
        <v>54500</v>
      </c>
      <c r="F290" s="143">
        <v>55000</v>
      </c>
      <c r="G290" s="139">
        <f t="shared" si="24"/>
        <v>100.91743119266054</v>
      </c>
      <c r="H290" s="382">
        <f t="shared" si="25"/>
        <v>0.18050541516245489</v>
      </c>
      <c r="I290" s="6"/>
      <c r="J290" s="143">
        <v>55000</v>
      </c>
      <c r="K290" s="143"/>
    </row>
    <row r="291" spans="1:11" ht="12.75">
      <c r="A291" s="120" t="s">
        <v>22</v>
      </c>
      <c r="B291" s="123"/>
      <c r="C291" s="60">
        <v>412500</v>
      </c>
      <c r="D291" s="123" t="s">
        <v>20</v>
      </c>
      <c r="E291" s="143">
        <v>35000</v>
      </c>
      <c r="F291" s="143">
        <v>35000</v>
      </c>
      <c r="G291" s="139">
        <f t="shared" si="24"/>
        <v>100</v>
      </c>
      <c r="H291" s="382">
        <f t="shared" si="25"/>
        <v>0.11486708237610765</v>
      </c>
      <c r="I291" s="6"/>
      <c r="J291" s="143">
        <v>45100</v>
      </c>
      <c r="K291" s="143"/>
    </row>
    <row r="292" spans="1:11" ht="15.75" customHeight="1">
      <c r="A292" s="120" t="s">
        <v>22</v>
      </c>
      <c r="B292" s="123"/>
      <c r="C292" s="60">
        <v>412600</v>
      </c>
      <c r="D292" s="82" t="s">
        <v>621</v>
      </c>
      <c r="E292" s="143">
        <v>7000</v>
      </c>
      <c r="F292" s="143">
        <v>7000</v>
      </c>
      <c r="G292" s="139">
        <f t="shared" si="24"/>
        <v>100</v>
      </c>
      <c r="H292" s="382">
        <f t="shared" si="25"/>
        <v>0.02297341647522153</v>
      </c>
      <c r="I292" s="6"/>
      <c r="J292" s="143">
        <v>7000</v>
      </c>
      <c r="K292" s="143"/>
    </row>
    <row r="293" spans="1:11" ht="12.75">
      <c r="A293" s="120" t="s">
        <v>22</v>
      </c>
      <c r="B293" s="123"/>
      <c r="C293" s="60">
        <v>412700</v>
      </c>
      <c r="D293" s="82" t="s">
        <v>622</v>
      </c>
      <c r="E293" s="145">
        <v>66000</v>
      </c>
      <c r="F293" s="145">
        <v>69000</v>
      </c>
      <c r="G293" s="139">
        <f t="shared" si="24"/>
        <v>104.54545454545455</v>
      </c>
      <c r="H293" s="382">
        <f t="shared" si="25"/>
        <v>0.22645224811289794</v>
      </c>
      <c r="I293" s="6"/>
      <c r="J293" s="145">
        <v>70000</v>
      </c>
      <c r="K293" s="145"/>
    </row>
    <row r="294" spans="1:11" ht="12.75">
      <c r="A294" s="120" t="s">
        <v>22</v>
      </c>
      <c r="B294" s="123"/>
      <c r="C294" s="60">
        <v>412900</v>
      </c>
      <c r="D294" s="82" t="s">
        <v>0</v>
      </c>
      <c r="E294" s="143">
        <v>400</v>
      </c>
      <c r="F294" s="143">
        <v>400</v>
      </c>
      <c r="G294" s="139">
        <f t="shared" si="24"/>
        <v>100</v>
      </c>
      <c r="H294" s="382">
        <f t="shared" si="25"/>
        <v>0.0013127666557269445</v>
      </c>
      <c r="I294" s="6"/>
      <c r="J294" s="143">
        <v>400</v>
      </c>
      <c r="K294" s="143"/>
    </row>
    <row r="295" spans="1:11" ht="25.5">
      <c r="A295" s="120" t="s">
        <v>22</v>
      </c>
      <c r="B295" s="123"/>
      <c r="C295" s="60">
        <v>412900</v>
      </c>
      <c r="D295" s="82" t="s">
        <v>623</v>
      </c>
      <c r="E295" s="145">
        <v>2500</v>
      </c>
      <c r="F295" s="145">
        <v>2500</v>
      </c>
      <c r="G295" s="139">
        <f t="shared" si="24"/>
        <v>100</v>
      </c>
      <c r="H295" s="382">
        <f t="shared" si="25"/>
        <v>0.008204791598293402</v>
      </c>
      <c r="I295" s="6"/>
      <c r="J295" s="145">
        <v>2500</v>
      </c>
      <c r="K295" s="145"/>
    </row>
    <row r="296" spans="1:11" ht="14.25" customHeight="1">
      <c r="A296" s="120" t="s">
        <v>22</v>
      </c>
      <c r="B296" s="123"/>
      <c r="C296" s="60">
        <v>412900</v>
      </c>
      <c r="D296" s="82" t="s">
        <v>126</v>
      </c>
      <c r="E296" s="145">
        <v>10000</v>
      </c>
      <c r="F296" s="145">
        <v>10000</v>
      </c>
      <c r="G296" s="139">
        <f t="shared" si="24"/>
        <v>100</v>
      </c>
      <c r="H296" s="382">
        <f t="shared" si="25"/>
        <v>0.03281916639317361</v>
      </c>
      <c r="I296" s="6"/>
      <c r="J296" s="145">
        <v>10000</v>
      </c>
      <c r="K296" s="145"/>
    </row>
    <row r="297" spans="1:11" ht="13.5" customHeight="1" hidden="1">
      <c r="A297" s="120" t="s">
        <v>22</v>
      </c>
      <c r="B297" s="123"/>
      <c r="C297" s="60">
        <v>412900</v>
      </c>
      <c r="D297" s="82" t="s">
        <v>437</v>
      </c>
      <c r="E297" s="145">
        <v>0</v>
      </c>
      <c r="F297" s="145">
        <v>0</v>
      </c>
      <c r="G297" s="136">
        <f t="shared" si="24"/>
        <v>0</v>
      </c>
      <c r="H297" s="172">
        <f t="shared" si="25"/>
        <v>0</v>
      </c>
      <c r="I297" s="6"/>
      <c r="J297" s="145">
        <v>0</v>
      </c>
      <c r="K297" s="145">
        <v>0</v>
      </c>
    </row>
    <row r="298" spans="1:11" ht="12" customHeight="1">
      <c r="A298" s="120"/>
      <c r="B298" s="47">
        <v>511000</v>
      </c>
      <c r="C298" s="123"/>
      <c r="D298" s="134" t="s">
        <v>133</v>
      </c>
      <c r="E298" s="174">
        <f>SUM(E299:E300)</f>
        <v>95000</v>
      </c>
      <c r="F298" s="136">
        <f>SUM(F299:F300)</f>
        <v>50000</v>
      </c>
      <c r="G298" s="136">
        <f t="shared" si="24"/>
        <v>52.63157894736842</v>
      </c>
      <c r="H298" s="172">
        <f t="shared" si="25"/>
        <v>0.16409583196586808</v>
      </c>
      <c r="I298" s="6"/>
      <c r="J298" s="174">
        <f>SUM(J299:J300)</f>
        <v>95000</v>
      </c>
      <c r="K298" s="174">
        <f>SUM(K299:K300)</f>
        <v>0</v>
      </c>
    </row>
    <row r="299" spans="1:11" ht="0.75" customHeight="1" hidden="1">
      <c r="A299" s="120" t="s">
        <v>22</v>
      </c>
      <c r="B299" s="123"/>
      <c r="C299" s="197">
        <v>511200</v>
      </c>
      <c r="D299" s="116" t="s">
        <v>142</v>
      </c>
      <c r="E299" s="143">
        <v>0</v>
      </c>
      <c r="F299" s="143">
        <v>0</v>
      </c>
      <c r="G299" s="136">
        <f t="shared" si="24"/>
        <v>0</v>
      </c>
      <c r="H299" s="172">
        <f t="shared" si="25"/>
        <v>0</v>
      </c>
      <c r="I299" s="6"/>
      <c r="J299" s="143">
        <v>0</v>
      </c>
      <c r="K299" s="143">
        <v>0</v>
      </c>
    </row>
    <row r="300" spans="1:11" ht="14.25" customHeight="1">
      <c r="A300" s="120" t="s">
        <v>22</v>
      </c>
      <c r="B300" s="123"/>
      <c r="C300" s="123">
        <v>511300</v>
      </c>
      <c r="D300" s="123" t="s">
        <v>2</v>
      </c>
      <c r="E300" s="145">
        <v>95000</v>
      </c>
      <c r="F300" s="145">
        <v>50000</v>
      </c>
      <c r="G300" s="139">
        <f t="shared" si="24"/>
        <v>52.63157894736842</v>
      </c>
      <c r="H300" s="382">
        <f t="shared" si="25"/>
        <v>0.16409583196586808</v>
      </c>
      <c r="I300" s="312"/>
      <c r="J300" s="145">
        <v>95000</v>
      </c>
      <c r="K300" s="145"/>
    </row>
    <row r="301" spans="1:11" ht="16.5" customHeight="1">
      <c r="A301" s="120"/>
      <c r="B301" s="47">
        <v>516000</v>
      </c>
      <c r="C301" s="123"/>
      <c r="D301" s="134" t="s">
        <v>274</v>
      </c>
      <c r="E301" s="174">
        <f>SUM(E302)</f>
        <v>10000</v>
      </c>
      <c r="F301" s="136">
        <f>SUM(F302)</f>
        <v>10000</v>
      </c>
      <c r="G301" s="136">
        <f t="shared" si="24"/>
        <v>100</v>
      </c>
      <c r="H301" s="172">
        <f t="shared" si="25"/>
        <v>0.03281916639317361</v>
      </c>
      <c r="I301" s="6"/>
      <c r="J301" s="174">
        <f>SUM(J302)</f>
        <v>10000</v>
      </c>
      <c r="K301" s="174">
        <f>SUM(K302)</f>
        <v>0</v>
      </c>
    </row>
    <row r="302" spans="1:11" ht="25.5">
      <c r="A302" s="120" t="s">
        <v>22</v>
      </c>
      <c r="B302" s="123"/>
      <c r="C302" s="123">
        <v>516100</v>
      </c>
      <c r="D302" s="82" t="s">
        <v>227</v>
      </c>
      <c r="E302" s="145">
        <v>10000</v>
      </c>
      <c r="F302" s="145">
        <v>10000</v>
      </c>
      <c r="G302" s="139">
        <f t="shared" si="24"/>
        <v>100</v>
      </c>
      <c r="H302" s="382">
        <f t="shared" si="25"/>
        <v>0.03281916639317361</v>
      </c>
      <c r="I302" s="6"/>
      <c r="J302" s="145">
        <v>10000</v>
      </c>
      <c r="K302" s="145"/>
    </row>
    <row r="303" spans="1:11" ht="25.5" customHeight="1">
      <c r="A303" s="522"/>
      <c r="B303" s="523"/>
      <c r="C303" s="524" t="s">
        <v>84</v>
      </c>
      <c r="D303" s="525"/>
      <c r="E303" s="158">
        <f>E288+E298+E301</f>
        <v>520400</v>
      </c>
      <c r="F303" s="439">
        <f>F288+F298+F301</f>
        <v>478900</v>
      </c>
      <c r="G303" s="359">
        <f t="shared" si="24"/>
        <v>92.02536510376633</v>
      </c>
      <c r="H303" s="339">
        <f t="shared" si="25"/>
        <v>1.5717098785690844</v>
      </c>
      <c r="I303" s="6"/>
      <c r="J303" s="158">
        <f>J288+J298+J301</f>
        <v>535000</v>
      </c>
      <c r="K303" s="440">
        <f>K288+K298+K301</f>
        <v>0</v>
      </c>
    </row>
    <row r="304" spans="1:11" ht="12.75">
      <c r="A304" s="164"/>
      <c r="B304" s="165"/>
      <c r="C304" s="567" t="s">
        <v>497</v>
      </c>
      <c r="D304" s="534"/>
      <c r="E304" s="166"/>
      <c r="F304" s="166"/>
      <c r="G304" s="166"/>
      <c r="H304" s="167"/>
      <c r="I304" s="6"/>
      <c r="J304" s="166"/>
      <c r="K304" s="166"/>
    </row>
    <row r="305" spans="1:11" ht="12.75">
      <c r="A305" s="164"/>
      <c r="B305" s="165"/>
      <c r="C305" s="534"/>
      <c r="D305" s="534"/>
      <c r="E305" s="166"/>
      <c r="F305" s="166"/>
      <c r="G305" s="166"/>
      <c r="H305" s="167"/>
      <c r="I305" s="6"/>
      <c r="J305" s="166"/>
      <c r="K305" s="166"/>
    </row>
    <row r="306" spans="1:11" ht="17.25" customHeight="1">
      <c r="A306" s="168"/>
      <c r="B306" s="169"/>
      <c r="C306" s="534"/>
      <c r="D306" s="534"/>
      <c r="E306" s="170"/>
      <c r="F306" s="170"/>
      <c r="G306" s="170"/>
      <c r="H306" s="171"/>
      <c r="I306" s="6"/>
      <c r="J306" s="170"/>
      <c r="K306" s="170"/>
    </row>
    <row r="307" spans="1:11" ht="12.75">
      <c r="A307" s="213"/>
      <c r="B307" s="181" t="s">
        <v>334</v>
      </c>
      <c r="C307" s="84"/>
      <c r="D307" s="54" t="s">
        <v>117</v>
      </c>
      <c r="E307" s="214">
        <f>SUM(E308:E310)</f>
        <v>36400</v>
      </c>
      <c r="F307" s="214">
        <f>SUM(F308:F310)</f>
        <v>41400</v>
      </c>
      <c r="G307" s="215">
        <f aca="true" t="shared" si="26" ref="G307:G315">IF(E307&gt;0,F307/E307*100,0)</f>
        <v>113.73626373626374</v>
      </c>
      <c r="H307" s="216">
        <f aca="true" t="shared" si="27" ref="H307:H315">F307/$F$587*100</f>
        <v>0.13587134886773874</v>
      </c>
      <c r="I307" s="6"/>
      <c r="J307" s="214">
        <f>SUM(J308:J309)</f>
        <v>41000</v>
      </c>
      <c r="K307" s="453">
        <f>SUM(K308:K309)</f>
        <v>0</v>
      </c>
    </row>
    <row r="308" spans="1:11" ht="12.75">
      <c r="A308" s="120" t="s">
        <v>22</v>
      </c>
      <c r="B308" s="181"/>
      <c r="C308" s="89">
        <v>412700</v>
      </c>
      <c r="D308" s="61" t="s">
        <v>124</v>
      </c>
      <c r="E308" s="218">
        <v>35000</v>
      </c>
      <c r="F308" s="218">
        <v>40000</v>
      </c>
      <c r="G308" s="184">
        <f t="shared" si="26"/>
        <v>114.28571428571428</v>
      </c>
      <c r="H308" s="383">
        <f t="shared" si="27"/>
        <v>0.13127666557269443</v>
      </c>
      <c r="I308" s="6"/>
      <c r="J308" s="218">
        <v>40000</v>
      </c>
      <c r="K308" s="454"/>
    </row>
    <row r="309" spans="1:11" ht="25.5">
      <c r="A309" s="120" t="s">
        <v>22</v>
      </c>
      <c r="B309" s="181"/>
      <c r="C309" s="89">
        <v>412900</v>
      </c>
      <c r="D309" s="69" t="s">
        <v>408</v>
      </c>
      <c r="E309" s="217">
        <v>1000</v>
      </c>
      <c r="F309" s="217">
        <v>1000</v>
      </c>
      <c r="G309" s="184">
        <f t="shared" si="26"/>
        <v>100</v>
      </c>
      <c r="H309" s="383">
        <f t="shared" si="27"/>
        <v>0.0032819166393173614</v>
      </c>
      <c r="I309" s="6"/>
      <c r="J309" s="217">
        <v>1000</v>
      </c>
      <c r="K309" s="455"/>
    </row>
    <row r="310" spans="1:11" ht="12.75">
      <c r="A310" s="240" t="s">
        <v>22</v>
      </c>
      <c r="B310" s="123"/>
      <c r="C310" s="60">
        <v>412900</v>
      </c>
      <c r="D310" s="82" t="s">
        <v>0</v>
      </c>
      <c r="E310" s="143">
        <v>400</v>
      </c>
      <c r="F310" s="143">
        <v>400</v>
      </c>
      <c r="G310" s="139">
        <f t="shared" si="26"/>
        <v>100</v>
      </c>
      <c r="H310" s="382">
        <f t="shared" si="27"/>
        <v>0.0013127666557269445</v>
      </c>
      <c r="I310" s="6"/>
      <c r="J310" s="143">
        <v>400</v>
      </c>
      <c r="K310" s="143"/>
    </row>
    <row r="311" spans="1:11" ht="12.75">
      <c r="A311" s="120"/>
      <c r="B311" s="181" t="s">
        <v>343</v>
      </c>
      <c r="C311" s="84"/>
      <c r="D311" s="54" t="s">
        <v>287</v>
      </c>
      <c r="E311" s="214">
        <f>SUM(E312:E312)</f>
        <v>150000</v>
      </c>
      <c r="F311" s="214">
        <f>SUM(F312:F312)</f>
        <v>230000</v>
      </c>
      <c r="G311" s="215">
        <f t="shared" si="26"/>
        <v>153.33333333333334</v>
      </c>
      <c r="H311" s="216">
        <f t="shared" si="27"/>
        <v>0.7548408270429932</v>
      </c>
      <c r="I311" s="6"/>
      <c r="J311" s="214">
        <f>SUM(J312:J312)</f>
        <v>730273.77</v>
      </c>
      <c r="K311" s="453">
        <f>SUM(K312:K312)</f>
        <v>0</v>
      </c>
    </row>
    <row r="312" spans="1:11" ht="15.75" customHeight="1">
      <c r="A312" s="120" t="s">
        <v>22</v>
      </c>
      <c r="B312" s="181"/>
      <c r="C312" s="89">
        <v>419100</v>
      </c>
      <c r="D312" s="69" t="s">
        <v>345</v>
      </c>
      <c r="E312" s="308">
        <v>150000</v>
      </c>
      <c r="F312" s="308">
        <v>230000</v>
      </c>
      <c r="G312" s="184">
        <f t="shared" si="26"/>
        <v>153.33333333333334</v>
      </c>
      <c r="H312" s="383">
        <f t="shared" si="27"/>
        <v>0.7548408270429932</v>
      </c>
      <c r="I312" s="312"/>
      <c r="J312" s="308">
        <v>730273.77</v>
      </c>
      <c r="K312" s="456"/>
    </row>
    <row r="313" spans="1:11" ht="12.75">
      <c r="A313" s="120"/>
      <c r="B313" s="181" t="s">
        <v>344</v>
      </c>
      <c r="C313" s="84"/>
      <c r="D313" s="54" t="s">
        <v>159</v>
      </c>
      <c r="E313" s="214">
        <f>SUM(E314)</f>
        <v>150000</v>
      </c>
      <c r="F313" s="214">
        <f>SUM(F314)</f>
        <v>40000</v>
      </c>
      <c r="G313" s="215">
        <f t="shared" si="26"/>
        <v>26.666666666666668</v>
      </c>
      <c r="H313" s="216">
        <f t="shared" si="27"/>
        <v>0.13127666557269443</v>
      </c>
      <c r="I313" s="6"/>
      <c r="J313" s="214">
        <f>SUM(J314)</f>
        <v>150000</v>
      </c>
      <c r="K313" s="453">
        <f>SUM(K314)</f>
        <v>0</v>
      </c>
    </row>
    <row r="314" spans="1:11" ht="15.75" customHeight="1">
      <c r="A314" s="120" t="s">
        <v>22</v>
      </c>
      <c r="B314" s="219"/>
      <c r="C314" s="220">
        <v>513100</v>
      </c>
      <c r="D314" s="157" t="s">
        <v>217</v>
      </c>
      <c r="E314" s="62">
        <v>150000</v>
      </c>
      <c r="F314" s="62">
        <v>40000</v>
      </c>
      <c r="G314" s="184">
        <f t="shared" si="26"/>
        <v>26.666666666666668</v>
      </c>
      <c r="H314" s="383">
        <f t="shared" si="27"/>
        <v>0.13127666557269443</v>
      </c>
      <c r="I314" s="6"/>
      <c r="J314" s="62">
        <v>150000</v>
      </c>
      <c r="K314" s="63"/>
    </row>
    <row r="315" spans="1:11" ht="25.5" customHeight="1">
      <c r="A315" s="120"/>
      <c r="B315" s="219"/>
      <c r="C315" s="524" t="s">
        <v>378</v>
      </c>
      <c r="D315" s="524"/>
      <c r="E315" s="221">
        <f>E307+E312+E313</f>
        <v>336400</v>
      </c>
      <c r="F315" s="221">
        <f>F307+F312+F313</f>
        <v>311400</v>
      </c>
      <c r="G315" s="337">
        <f t="shared" si="26"/>
        <v>92.56837098692033</v>
      </c>
      <c r="H315" s="389">
        <f t="shared" si="27"/>
        <v>1.0219888414834264</v>
      </c>
      <c r="I315" s="6"/>
      <c r="J315" s="221">
        <f>J307+J312+J313</f>
        <v>921273.77</v>
      </c>
      <c r="K315" s="457">
        <f>K307+K312+K313</f>
        <v>0</v>
      </c>
    </row>
    <row r="316" spans="1:11" ht="9.75" customHeight="1">
      <c r="A316" s="520"/>
      <c r="B316" s="521"/>
      <c r="C316" s="526" t="s">
        <v>496</v>
      </c>
      <c r="D316" s="527"/>
      <c r="E316" s="188"/>
      <c r="F316" s="188"/>
      <c r="G316" s="188"/>
      <c r="H316" s="189"/>
      <c r="I316" s="6"/>
      <c r="J316" s="188"/>
      <c r="K316" s="188"/>
    </row>
    <row r="317" spans="1:11" ht="9.75" customHeight="1">
      <c r="A317" s="520"/>
      <c r="B317" s="521"/>
      <c r="C317" s="527"/>
      <c r="D317" s="527"/>
      <c r="E317" s="190"/>
      <c r="F317" s="190"/>
      <c r="G317" s="190"/>
      <c r="H317" s="191"/>
      <c r="I317" s="6"/>
      <c r="J317" s="190"/>
      <c r="K317" s="190"/>
    </row>
    <row r="318" spans="1:11" ht="30" customHeight="1">
      <c r="A318" s="520"/>
      <c r="B318" s="521"/>
      <c r="C318" s="527"/>
      <c r="D318" s="527"/>
      <c r="E318" s="192"/>
      <c r="F318" s="192"/>
      <c r="G318" s="192"/>
      <c r="H318" s="193"/>
      <c r="I318" s="6"/>
      <c r="J318" s="192"/>
      <c r="K318" s="192"/>
    </row>
    <row r="319" spans="1:11" ht="14.25" customHeight="1">
      <c r="A319" s="120"/>
      <c r="B319" s="47">
        <v>412000</v>
      </c>
      <c r="C319" s="60"/>
      <c r="D319" s="134" t="s">
        <v>117</v>
      </c>
      <c r="E319" s="136">
        <f>SUM(E320:E323)</f>
        <v>42400</v>
      </c>
      <c r="F319" s="136">
        <f>SUM(F320:F323)</f>
        <v>42900</v>
      </c>
      <c r="G319" s="136">
        <f aca="true" t="shared" si="28" ref="G319:G337">IF(E319&gt;0,F319/E319*100,0)</f>
        <v>101.17924528301887</v>
      </c>
      <c r="H319" s="172">
        <f aca="true" t="shared" si="29" ref="H319:H337">F319/$F$587*100</f>
        <v>0.1407942238267148</v>
      </c>
      <c r="I319" s="6"/>
      <c r="J319" s="140">
        <f>SUM(J320:J323)</f>
        <v>43400</v>
      </c>
      <c r="K319" s="174">
        <f>SUM(K320:K323)</f>
        <v>0</v>
      </c>
    </row>
    <row r="320" spans="1:11" ht="12.75">
      <c r="A320" s="122" t="s">
        <v>44</v>
      </c>
      <c r="B320" s="123"/>
      <c r="C320" s="90">
        <v>412700</v>
      </c>
      <c r="D320" s="123" t="s">
        <v>43</v>
      </c>
      <c r="E320" s="145">
        <v>3000</v>
      </c>
      <c r="F320" s="145">
        <v>3500</v>
      </c>
      <c r="G320" s="139">
        <f t="shared" si="28"/>
        <v>116.66666666666667</v>
      </c>
      <c r="H320" s="382">
        <f t="shared" si="29"/>
        <v>0.011486708237610764</v>
      </c>
      <c r="I320" s="6"/>
      <c r="J320" s="88">
        <v>4000</v>
      </c>
      <c r="K320" s="144"/>
    </row>
    <row r="321" spans="1:11" ht="12.75">
      <c r="A321" s="120" t="s">
        <v>44</v>
      </c>
      <c r="B321" s="123"/>
      <c r="C321" s="90">
        <v>412700</v>
      </c>
      <c r="D321" s="82" t="s">
        <v>99</v>
      </c>
      <c r="E321" s="143">
        <v>39000</v>
      </c>
      <c r="F321" s="143">
        <v>39000</v>
      </c>
      <c r="G321" s="139">
        <f t="shared" si="28"/>
        <v>100</v>
      </c>
      <c r="H321" s="382">
        <f t="shared" si="29"/>
        <v>0.1279947489333771</v>
      </c>
      <c r="I321" s="6"/>
      <c r="J321" s="239">
        <v>39000</v>
      </c>
      <c r="K321" s="142"/>
    </row>
    <row r="322" spans="1:11" ht="12.75" customHeight="1" hidden="1">
      <c r="A322" s="120" t="s">
        <v>267</v>
      </c>
      <c r="B322" s="123"/>
      <c r="C322" s="90">
        <v>412700</v>
      </c>
      <c r="D322" s="82" t="s">
        <v>269</v>
      </c>
      <c r="E322" s="143"/>
      <c r="F322" s="143"/>
      <c r="G322" s="139">
        <f t="shared" si="28"/>
        <v>0</v>
      </c>
      <c r="H322" s="382">
        <f t="shared" si="29"/>
        <v>0</v>
      </c>
      <c r="I322" s="6"/>
      <c r="J322" s="239"/>
      <c r="K322" s="142"/>
    </row>
    <row r="323" spans="1:11" ht="12.75">
      <c r="A323" s="120" t="s">
        <v>22</v>
      </c>
      <c r="B323" s="123"/>
      <c r="C323" s="60">
        <v>412900</v>
      </c>
      <c r="D323" s="194" t="s">
        <v>0</v>
      </c>
      <c r="E323" s="143">
        <v>400</v>
      </c>
      <c r="F323" s="143">
        <v>400</v>
      </c>
      <c r="G323" s="139">
        <f t="shared" si="28"/>
        <v>100</v>
      </c>
      <c r="H323" s="382">
        <f t="shared" si="29"/>
        <v>0.0013127666557269445</v>
      </c>
      <c r="I323" s="6"/>
      <c r="J323" s="239">
        <v>400</v>
      </c>
      <c r="K323" s="142"/>
    </row>
    <row r="324" spans="1:11" ht="14.25" customHeight="1">
      <c r="A324" s="120"/>
      <c r="B324" s="47">
        <v>414000</v>
      </c>
      <c r="C324" s="90"/>
      <c r="D324" s="222" t="s">
        <v>168</v>
      </c>
      <c r="E324" s="174">
        <f>SUM(E325:E325)</f>
        <v>550000</v>
      </c>
      <c r="F324" s="136">
        <f>SUM(F325:F325)</f>
        <v>495000</v>
      </c>
      <c r="G324" s="136">
        <f t="shared" si="28"/>
        <v>90</v>
      </c>
      <c r="H324" s="172">
        <f t="shared" si="29"/>
        <v>1.6245487364620936</v>
      </c>
      <c r="I324" s="6"/>
      <c r="J324" s="140">
        <f>SUM(J325:J325)</f>
        <v>546600</v>
      </c>
      <c r="K324" s="174">
        <f>SUM(K325:K325)</f>
        <v>0</v>
      </c>
    </row>
    <row r="325" spans="1:11" ht="11.25" customHeight="1">
      <c r="A325" s="120" t="s">
        <v>44</v>
      </c>
      <c r="B325" s="123"/>
      <c r="C325" s="90">
        <v>414100</v>
      </c>
      <c r="D325" s="157" t="s">
        <v>169</v>
      </c>
      <c r="E325" s="145">
        <v>550000</v>
      </c>
      <c r="F325" s="145">
        <v>495000</v>
      </c>
      <c r="G325" s="139">
        <f t="shared" si="28"/>
        <v>90</v>
      </c>
      <c r="H325" s="382">
        <f t="shared" si="29"/>
        <v>1.6245487364620936</v>
      </c>
      <c r="I325" s="6"/>
      <c r="J325" s="88">
        <v>546600</v>
      </c>
      <c r="K325" s="144"/>
    </row>
    <row r="326" spans="1:11" ht="14.25" customHeight="1">
      <c r="A326" s="120"/>
      <c r="B326" s="47">
        <v>416000</v>
      </c>
      <c r="C326" s="90"/>
      <c r="D326" s="134" t="s">
        <v>1</v>
      </c>
      <c r="E326" s="223">
        <f>SUM(E327:E327)</f>
        <v>5000</v>
      </c>
      <c r="F326" s="441">
        <f>SUM(F327:F327)</f>
        <v>5000</v>
      </c>
      <c r="G326" s="136">
        <f t="shared" si="28"/>
        <v>100</v>
      </c>
      <c r="H326" s="172">
        <f t="shared" si="29"/>
        <v>0.016409583196586804</v>
      </c>
      <c r="I326" s="6"/>
      <c r="J326" s="224">
        <f>SUM(J327:J327)</f>
        <v>7000</v>
      </c>
      <c r="K326" s="223">
        <f>SUM(K327:K327)</f>
        <v>0</v>
      </c>
    </row>
    <row r="327" spans="1:11" ht="12.75">
      <c r="A327" s="120" t="s">
        <v>44</v>
      </c>
      <c r="B327" s="123"/>
      <c r="C327" s="71">
        <v>416100</v>
      </c>
      <c r="D327" s="82" t="s">
        <v>172</v>
      </c>
      <c r="E327" s="145">
        <v>5000</v>
      </c>
      <c r="F327" s="145">
        <v>5000</v>
      </c>
      <c r="G327" s="139">
        <f t="shared" si="28"/>
        <v>100</v>
      </c>
      <c r="H327" s="382">
        <f t="shared" si="29"/>
        <v>0.016409583196586804</v>
      </c>
      <c r="I327" s="6"/>
      <c r="J327" s="88">
        <v>7000</v>
      </c>
      <c r="K327" s="144"/>
    </row>
    <row r="328" spans="1:11" ht="25.5">
      <c r="A328" s="120"/>
      <c r="B328" s="123"/>
      <c r="C328" s="71"/>
      <c r="D328" s="134" t="s">
        <v>281</v>
      </c>
      <c r="E328" s="224">
        <f>SUM(E329:E330)</f>
        <v>260000</v>
      </c>
      <c r="F328" s="441">
        <f>SUM(F329:F330)</f>
        <v>293000</v>
      </c>
      <c r="G328" s="136">
        <f t="shared" si="28"/>
        <v>112.6923076923077</v>
      </c>
      <c r="H328" s="172">
        <f t="shared" si="29"/>
        <v>0.9616015753199869</v>
      </c>
      <c r="I328" s="6"/>
      <c r="J328" s="224">
        <f>SUM(J329:J330)</f>
        <v>260000</v>
      </c>
      <c r="K328" s="223">
        <f>SUM(K329:K330)</f>
        <v>0</v>
      </c>
    </row>
    <row r="329" spans="1:11" ht="14.25" customHeight="1">
      <c r="A329" s="120" t="s">
        <v>38</v>
      </c>
      <c r="B329" s="123"/>
      <c r="C329" s="71">
        <v>412500</v>
      </c>
      <c r="D329" s="82" t="s">
        <v>630</v>
      </c>
      <c r="E329" s="143">
        <v>60000</v>
      </c>
      <c r="F329" s="143">
        <v>60000</v>
      </c>
      <c r="G329" s="139">
        <f t="shared" si="28"/>
        <v>100</v>
      </c>
      <c r="H329" s="382">
        <f t="shared" si="29"/>
        <v>0.1969149983590417</v>
      </c>
      <c r="I329" s="6"/>
      <c r="J329" s="239">
        <v>60000</v>
      </c>
      <c r="K329" s="142"/>
    </row>
    <row r="330" spans="1:11" ht="25.5">
      <c r="A330" s="120" t="s">
        <v>38</v>
      </c>
      <c r="B330" s="123"/>
      <c r="C330" s="71">
        <v>511200</v>
      </c>
      <c r="D330" s="82" t="s">
        <v>631</v>
      </c>
      <c r="E330" s="143">
        <v>200000</v>
      </c>
      <c r="F330" s="143">
        <v>233000</v>
      </c>
      <c r="G330" s="139">
        <f t="shared" si="28"/>
        <v>116.5</v>
      </c>
      <c r="H330" s="382">
        <f t="shared" si="29"/>
        <v>0.7646865769609452</v>
      </c>
      <c r="I330" s="415"/>
      <c r="J330" s="239">
        <v>200000</v>
      </c>
      <c r="K330" s="142"/>
    </row>
    <row r="331" spans="1:11" ht="26.25" customHeight="1">
      <c r="A331" s="120"/>
      <c r="B331" s="123"/>
      <c r="C331" s="79"/>
      <c r="D331" s="134" t="s">
        <v>108</v>
      </c>
      <c r="E331" s="174">
        <f>SUM(E332:E336)</f>
        <v>185000</v>
      </c>
      <c r="F331" s="136">
        <f>SUM(F332:F336)</f>
        <v>277000</v>
      </c>
      <c r="G331" s="136">
        <f t="shared" si="28"/>
        <v>149.72972972972974</v>
      </c>
      <c r="H331" s="172">
        <f t="shared" si="29"/>
        <v>0.9090909090909091</v>
      </c>
      <c r="I331" s="412"/>
      <c r="J331" s="140">
        <f>SUM(J332:J336)</f>
        <v>185000</v>
      </c>
      <c r="K331" s="174">
        <f>SUM(K332:K336)</f>
        <v>0</v>
      </c>
    </row>
    <row r="332" spans="1:11" ht="14.25" customHeight="1">
      <c r="A332" s="122" t="s">
        <v>156</v>
      </c>
      <c r="B332" s="123"/>
      <c r="C332" s="90">
        <v>412700</v>
      </c>
      <c r="D332" s="82" t="s">
        <v>109</v>
      </c>
      <c r="E332" s="145">
        <v>10000</v>
      </c>
      <c r="F332" s="145">
        <v>7000</v>
      </c>
      <c r="G332" s="139">
        <f t="shared" si="28"/>
        <v>70</v>
      </c>
      <c r="H332" s="382">
        <f t="shared" si="29"/>
        <v>0.02297341647522153</v>
      </c>
      <c r="I332" s="6"/>
      <c r="J332" s="88">
        <v>10000</v>
      </c>
      <c r="K332" s="144"/>
    </row>
    <row r="333" spans="1:11" ht="25.5">
      <c r="A333" s="122" t="s">
        <v>44</v>
      </c>
      <c r="B333" s="123"/>
      <c r="C333" s="71">
        <v>412800</v>
      </c>
      <c r="D333" s="82" t="s">
        <v>253</v>
      </c>
      <c r="E333" s="145">
        <v>10000</v>
      </c>
      <c r="F333" s="145">
        <v>35000</v>
      </c>
      <c r="G333" s="139">
        <f t="shared" si="28"/>
        <v>350</v>
      </c>
      <c r="H333" s="382">
        <f t="shared" si="29"/>
        <v>0.11486708237610765</v>
      </c>
      <c r="I333" s="6"/>
      <c r="J333" s="88">
        <v>10000</v>
      </c>
      <c r="K333" s="144"/>
    </row>
    <row r="334" spans="1:11" ht="6" customHeight="1" hidden="1">
      <c r="A334" s="122" t="s">
        <v>154</v>
      </c>
      <c r="B334" s="123"/>
      <c r="C334" s="71">
        <v>415200</v>
      </c>
      <c r="D334" s="87" t="s">
        <v>363</v>
      </c>
      <c r="E334" s="145"/>
      <c r="F334" s="145"/>
      <c r="G334" s="139">
        <f t="shared" si="28"/>
        <v>0</v>
      </c>
      <c r="H334" s="382">
        <f t="shared" si="29"/>
        <v>0</v>
      </c>
      <c r="I334" s="6"/>
      <c r="J334" s="88"/>
      <c r="K334" s="144"/>
    </row>
    <row r="335" spans="1:11" ht="15.75" customHeight="1">
      <c r="A335" s="225" t="s">
        <v>154</v>
      </c>
      <c r="B335" s="123"/>
      <c r="C335" s="71">
        <v>415200</v>
      </c>
      <c r="D335" s="116" t="s">
        <v>414</v>
      </c>
      <c r="E335" s="145">
        <v>25000</v>
      </c>
      <c r="F335" s="145">
        <v>25000</v>
      </c>
      <c r="G335" s="139">
        <f t="shared" si="28"/>
        <v>100</v>
      </c>
      <c r="H335" s="382">
        <f t="shared" si="29"/>
        <v>0.08204791598293404</v>
      </c>
      <c r="I335" s="6"/>
      <c r="J335" s="88">
        <v>25000</v>
      </c>
      <c r="K335" s="144"/>
    </row>
    <row r="336" spans="1:11" ht="27" customHeight="1">
      <c r="A336" s="122" t="s">
        <v>154</v>
      </c>
      <c r="B336" s="123"/>
      <c r="C336" s="71">
        <v>511200</v>
      </c>
      <c r="D336" s="116" t="s">
        <v>647</v>
      </c>
      <c r="E336" s="145">
        <v>140000</v>
      </c>
      <c r="F336" s="145">
        <v>210000</v>
      </c>
      <c r="G336" s="139">
        <f t="shared" si="28"/>
        <v>150</v>
      </c>
      <c r="H336" s="382">
        <f t="shared" si="29"/>
        <v>0.6892024942566459</v>
      </c>
      <c r="I336" s="6"/>
      <c r="J336" s="88">
        <v>140000</v>
      </c>
      <c r="K336" s="144"/>
    </row>
    <row r="337" spans="1:11" ht="24.75" customHeight="1">
      <c r="A337" s="522"/>
      <c r="B337" s="523"/>
      <c r="C337" s="524" t="s">
        <v>83</v>
      </c>
      <c r="D337" s="524"/>
      <c r="E337" s="158">
        <f>E319+E324+E326+E328+E331</f>
        <v>1042400</v>
      </c>
      <c r="F337" s="439">
        <f>F319+F324+F326+F328+F331</f>
        <v>1112900</v>
      </c>
      <c r="G337" s="359">
        <f t="shared" si="28"/>
        <v>106.7632386799693</v>
      </c>
      <c r="H337" s="339">
        <f t="shared" si="29"/>
        <v>3.6524450278962917</v>
      </c>
      <c r="I337" s="6"/>
      <c r="J337" s="158" t="e">
        <f>J319+J324+J326+J328+J331+#REF!</f>
        <v>#REF!</v>
      </c>
      <c r="K337" s="440" t="e">
        <f>K319+K324+K326+K328+K331+#REF!</f>
        <v>#REF!</v>
      </c>
    </row>
    <row r="338" spans="1:11" ht="12.75">
      <c r="A338" s="520"/>
      <c r="B338" s="521"/>
      <c r="C338" s="526" t="s">
        <v>495</v>
      </c>
      <c r="D338" s="527"/>
      <c r="E338" s="188"/>
      <c r="F338" s="188"/>
      <c r="G338" s="188"/>
      <c r="H338" s="189"/>
      <c r="I338" s="6"/>
      <c r="J338" s="188"/>
      <c r="K338" s="188"/>
    </row>
    <row r="339" spans="1:11" ht="12.75">
      <c r="A339" s="520"/>
      <c r="B339" s="521"/>
      <c r="C339" s="527"/>
      <c r="D339" s="527"/>
      <c r="E339" s="190"/>
      <c r="F339" s="190"/>
      <c r="G339" s="190"/>
      <c r="H339" s="191"/>
      <c r="I339" s="6"/>
      <c r="J339" s="190"/>
      <c r="K339" s="190"/>
    </row>
    <row r="340" spans="1:11" ht="17.25" customHeight="1">
      <c r="A340" s="520"/>
      <c r="B340" s="521"/>
      <c r="C340" s="527"/>
      <c r="D340" s="527"/>
      <c r="E340" s="192"/>
      <c r="F340" s="192"/>
      <c r="G340" s="192"/>
      <c r="H340" s="193"/>
      <c r="I340" s="6"/>
      <c r="J340" s="192"/>
      <c r="K340" s="192"/>
    </row>
    <row r="341" spans="1:11" ht="14.25" customHeight="1">
      <c r="A341" s="120"/>
      <c r="B341" s="47">
        <v>411000</v>
      </c>
      <c r="C341" s="72"/>
      <c r="D341" s="65" t="s">
        <v>303</v>
      </c>
      <c r="E341" s="135">
        <f>SUM(E342:E345)</f>
        <v>443100</v>
      </c>
      <c r="F341" s="136">
        <f>SUM(F342:F345)</f>
        <v>463000</v>
      </c>
      <c r="G341" s="136">
        <f aca="true" t="shared" si="30" ref="G341:G383">IF(E341&gt;0,F341/E341*100,0)</f>
        <v>104.49108553373956</v>
      </c>
      <c r="H341" s="172">
        <f aca="true" t="shared" si="31" ref="H341:H383">F341/$F$587*100</f>
        <v>1.5195274040039384</v>
      </c>
      <c r="I341" s="6"/>
      <c r="J341" s="140">
        <f>SUM(J342:J345)</f>
        <v>408540</v>
      </c>
      <c r="K341" s="174">
        <f>SUM(K342:K345)</f>
        <v>0</v>
      </c>
    </row>
    <row r="342" spans="1:11" ht="12.75" customHeight="1">
      <c r="A342" s="120">
        <v>1090</v>
      </c>
      <c r="B342" s="123"/>
      <c r="C342" s="60">
        <v>411100</v>
      </c>
      <c r="D342" s="66" t="s">
        <v>299</v>
      </c>
      <c r="E342" s="139">
        <v>318000</v>
      </c>
      <c r="F342" s="139">
        <v>343000</v>
      </c>
      <c r="G342" s="139">
        <f t="shared" si="30"/>
        <v>107.86163522012579</v>
      </c>
      <c r="H342" s="382">
        <f t="shared" si="31"/>
        <v>1.125697407285855</v>
      </c>
      <c r="I342" s="6"/>
      <c r="J342" s="139">
        <v>289500</v>
      </c>
      <c r="K342" s="139"/>
    </row>
    <row r="343" spans="1:11" ht="25.5">
      <c r="A343" s="120">
        <v>1090</v>
      </c>
      <c r="B343" s="123"/>
      <c r="C343" s="60">
        <v>411200</v>
      </c>
      <c r="D343" s="66" t="s">
        <v>304</v>
      </c>
      <c r="E343" s="143">
        <v>99000</v>
      </c>
      <c r="F343" s="143">
        <v>107000</v>
      </c>
      <c r="G343" s="139">
        <f t="shared" si="30"/>
        <v>108.08080808080808</v>
      </c>
      <c r="H343" s="382">
        <f t="shared" si="31"/>
        <v>0.3511650804069577</v>
      </c>
      <c r="I343" s="6"/>
      <c r="J343" s="143">
        <v>92940</v>
      </c>
      <c r="K343" s="143"/>
    </row>
    <row r="344" spans="1:11" ht="25.5">
      <c r="A344" s="120">
        <v>1090</v>
      </c>
      <c r="B344" s="123"/>
      <c r="C344" s="60">
        <v>411300</v>
      </c>
      <c r="D344" s="66" t="s">
        <v>380</v>
      </c>
      <c r="E344" s="143">
        <v>22000</v>
      </c>
      <c r="F344" s="143">
        <v>8000</v>
      </c>
      <c r="G344" s="139">
        <f t="shared" si="30"/>
        <v>36.36363636363637</v>
      </c>
      <c r="H344" s="382">
        <f t="shared" si="31"/>
        <v>0.02625533311453889</v>
      </c>
      <c r="I344" s="6"/>
      <c r="J344" s="143">
        <v>22000</v>
      </c>
      <c r="K344" s="143"/>
    </row>
    <row r="345" spans="1:11" ht="12.75" customHeight="1">
      <c r="A345" s="120">
        <v>1090</v>
      </c>
      <c r="B345" s="123"/>
      <c r="C345" s="60">
        <v>411400</v>
      </c>
      <c r="D345" s="67" t="s">
        <v>300</v>
      </c>
      <c r="E345" s="145">
        <v>4100</v>
      </c>
      <c r="F345" s="145">
        <v>5000</v>
      </c>
      <c r="G345" s="139">
        <f t="shared" si="30"/>
        <v>121.95121951219512</v>
      </c>
      <c r="H345" s="382">
        <f t="shared" si="31"/>
        <v>0.016409583196586804</v>
      </c>
      <c r="I345" s="6"/>
      <c r="J345" s="145">
        <v>4100</v>
      </c>
      <c r="K345" s="145"/>
    </row>
    <row r="346" spans="1:11" ht="14.25" customHeight="1">
      <c r="A346" s="120"/>
      <c r="B346" s="47">
        <v>412000</v>
      </c>
      <c r="C346" s="60"/>
      <c r="D346" s="134" t="s">
        <v>117</v>
      </c>
      <c r="E346" s="174">
        <f>SUM(E348:E355)</f>
        <v>135700</v>
      </c>
      <c r="F346" s="136">
        <f>SUM(F347:F355)</f>
        <v>151700</v>
      </c>
      <c r="G346" s="136">
        <f t="shared" si="30"/>
        <v>111.7907148120855</v>
      </c>
      <c r="H346" s="172">
        <f t="shared" si="31"/>
        <v>0.49786675418444376</v>
      </c>
      <c r="I346" s="6"/>
      <c r="J346" s="174">
        <f>SUM(J348:J355)</f>
        <v>143580</v>
      </c>
      <c r="K346" s="174">
        <f>SUM(K348:K355)</f>
        <v>0</v>
      </c>
    </row>
    <row r="347" spans="1:11" ht="14.25" customHeight="1">
      <c r="A347" s="120" t="s">
        <v>27</v>
      </c>
      <c r="B347" s="47"/>
      <c r="C347" s="60">
        <v>412100</v>
      </c>
      <c r="D347" s="82" t="s">
        <v>118</v>
      </c>
      <c r="E347" s="145">
        <v>0</v>
      </c>
      <c r="F347" s="145">
        <v>1800</v>
      </c>
      <c r="G347" s="139">
        <f>IF(E347&gt;0,F347/E347*100,0)</f>
        <v>0</v>
      </c>
      <c r="H347" s="382">
        <f t="shared" si="31"/>
        <v>0.00590744995077125</v>
      </c>
      <c r="I347" s="6"/>
      <c r="J347" s="136"/>
      <c r="K347" s="136"/>
    </row>
    <row r="348" spans="1:11" ht="26.25" customHeight="1">
      <c r="A348" s="120">
        <v>1090</v>
      </c>
      <c r="B348" s="123"/>
      <c r="C348" s="60">
        <v>412200</v>
      </c>
      <c r="D348" s="82" t="s">
        <v>119</v>
      </c>
      <c r="E348" s="145">
        <v>72100</v>
      </c>
      <c r="F348" s="145">
        <v>76000</v>
      </c>
      <c r="G348" s="139">
        <f>IF(E348&gt;0,F348/E348*100,0)</f>
        <v>105.40915395284327</v>
      </c>
      <c r="H348" s="382">
        <f t="shared" si="31"/>
        <v>0.24942566458811946</v>
      </c>
      <c r="I348" s="6"/>
      <c r="J348" s="145">
        <v>72100</v>
      </c>
      <c r="K348" s="145"/>
    </row>
    <row r="349" spans="1:11" ht="12.75" customHeight="1">
      <c r="A349" s="120">
        <v>1090</v>
      </c>
      <c r="B349" s="123"/>
      <c r="C349" s="60">
        <v>412300</v>
      </c>
      <c r="D349" s="123" t="s">
        <v>120</v>
      </c>
      <c r="E349" s="145">
        <v>5500</v>
      </c>
      <c r="F349" s="145">
        <v>5800</v>
      </c>
      <c r="G349" s="139">
        <f t="shared" si="30"/>
        <v>105.45454545454544</v>
      </c>
      <c r="H349" s="382">
        <f t="shared" si="31"/>
        <v>0.019035116508040694</v>
      </c>
      <c r="I349" s="6"/>
      <c r="J349" s="145">
        <v>5500</v>
      </c>
      <c r="K349" s="145"/>
    </row>
    <row r="350" spans="1:11" ht="12.75" customHeight="1">
      <c r="A350" s="120">
        <v>1090</v>
      </c>
      <c r="B350" s="123"/>
      <c r="C350" s="60">
        <v>412500</v>
      </c>
      <c r="D350" s="123" t="s">
        <v>122</v>
      </c>
      <c r="E350" s="145">
        <v>3000</v>
      </c>
      <c r="F350" s="145">
        <v>3500</v>
      </c>
      <c r="G350" s="139">
        <f t="shared" si="30"/>
        <v>116.66666666666667</v>
      </c>
      <c r="H350" s="382">
        <f t="shared" si="31"/>
        <v>0.011486708237610764</v>
      </c>
      <c r="I350" s="6"/>
      <c r="J350" s="145">
        <v>3000</v>
      </c>
      <c r="K350" s="145"/>
    </row>
    <row r="351" spans="1:11" ht="12.75" customHeight="1">
      <c r="A351" s="120">
        <v>1090</v>
      </c>
      <c r="B351" s="123"/>
      <c r="C351" s="60">
        <v>412600</v>
      </c>
      <c r="D351" s="194" t="s">
        <v>123</v>
      </c>
      <c r="E351" s="145">
        <v>600</v>
      </c>
      <c r="F351" s="145">
        <v>600</v>
      </c>
      <c r="G351" s="139">
        <f t="shared" si="30"/>
        <v>100</v>
      </c>
      <c r="H351" s="382">
        <f t="shared" si="31"/>
        <v>0.001969149983590417</v>
      </c>
      <c r="I351" s="6"/>
      <c r="J351" s="145">
        <v>600</v>
      </c>
      <c r="K351" s="145"/>
    </row>
    <row r="352" spans="1:11" ht="12.75" customHeight="1">
      <c r="A352" s="120" t="s">
        <v>27</v>
      </c>
      <c r="B352" s="123"/>
      <c r="C352" s="123">
        <v>412700</v>
      </c>
      <c r="D352" s="123" t="s">
        <v>124</v>
      </c>
      <c r="E352" s="145">
        <v>3000</v>
      </c>
      <c r="F352" s="145">
        <v>4000</v>
      </c>
      <c r="G352" s="139">
        <f t="shared" si="30"/>
        <v>133.33333333333331</v>
      </c>
      <c r="H352" s="382">
        <f t="shared" si="31"/>
        <v>0.013127666557269446</v>
      </c>
      <c r="I352" s="6"/>
      <c r="J352" s="145">
        <v>3000</v>
      </c>
      <c r="K352" s="145"/>
    </row>
    <row r="353" spans="1:11" ht="12.75" customHeight="1">
      <c r="A353" s="120" t="s">
        <v>27</v>
      </c>
      <c r="B353" s="123"/>
      <c r="C353" s="123">
        <v>412900</v>
      </c>
      <c r="D353" s="123" t="s">
        <v>445</v>
      </c>
      <c r="E353" s="145">
        <v>40000</v>
      </c>
      <c r="F353" s="145">
        <v>48000</v>
      </c>
      <c r="G353" s="139">
        <f t="shared" si="30"/>
        <v>120</v>
      </c>
      <c r="H353" s="382">
        <f t="shared" si="31"/>
        <v>0.15753199868723333</v>
      </c>
      <c r="I353" s="6"/>
      <c r="J353" s="145">
        <v>46380</v>
      </c>
      <c r="K353" s="145"/>
    </row>
    <row r="354" spans="1:11" ht="12.75" customHeight="1">
      <c r="A354" s="120" t="s">
        <v>27</v>
      </c>
      <c r="B354" s="123"/>
      <c r="C354" s="123">
        <v>412900</v>
      </c>
      <c r="D354" s="123" t="s">
        <v>126</v>
      </c>
      <c r="E354" s="145">
        <v>1500</v>
      </c>
      <c r="F354" s="145">
        <v>2000</v>
      </c>
      <c r="G354" s="139">
        <f t="shared" si="30"/>
        <v>133.33333333333331</v>
      </c>
      <c r="H354" s="382">
        <f t="shared" si="31"/>
        <v>0.006563833278634723</v>
      </c>
      <c r="I354" s="6"/>
      <c r="J354" s="145">
        <v>3000</v>
      </c>
      <c r="K354" s="145"/>
    </row>
    <row r="355" spans="1:11" ht="12.75" customHeight="1">
      <c r="A355" s="120" t="s">
        <v>27</v>
      </c>
      <c r="B355" s="123"/>
      <c r="C355" s="123">
        <v>412900</v>
      </c>
      <c r="D355" s="123" t="s">
        <v>389</v>
      </c>
      <c r="E355" s="145">
        <v>10000</v>
      </c>
      <c r="F355" s="145">
        <v>10000</v>
      </c>
      <c r="G355" s="139">
        <f t="shared" si="30"/>
        <v>100</v>
      </c>
      <c r="H355" s="382">
        <f t="shared" si="31"/>
        <v>0.03281916639317361</v>
      </c>
      <c r="I355" s="6"/>
      <c r="J355" s="145">
        <v>10000</v>
      </c>
      <c r="K355" s="145"/>
    </row>
    <row r="356" spans="1:11" ht="14.25" customHeight="1">
      <c r="A356" s="120"/>
      <c r="B356" s="47"/>
      <c r="C356" s="60"/>
      <c r="D356" s="146" t="s">
        <v>45</v>
      </c>
      <c r="E356" s="140">
        <f>SUM(E357:E371)</f>
        <v>3541500</v>
      </c>
      <c r="F356" s="136">
        <f>SUM(F357:F371)</f>
        <v>4286800</v>
      </c>
      <c r="G356" s="136">
        <f t="shared" si="30"/>
        <v>121.04475504729635</v>
      </c>
      <c r="H356" s="172">
        <f t="shared" si="31"/>
        <v>14.068920249425664</v>
      </c>
      <c r="I356" s="419"/>
      <c r="J356" s="140">
        <f>SUM(J357:J371)</f>
        <v>3767600</v>
      </c>
      <c r="K356" s="174">
        <f>SUM(K357:K371)</f>
        <v>0</v>
      </c>
    </row>
    <row r="357" spans="1:11" ht="12.75">
      <c r="A357" s="120">
        <v>1090</v>
      </c>
      <c r="B357" s="123"/>
      <c r="C357" s="60">
        <v>416100</v>
      </c>
      <c r="D357" s="82" t="s">
        <v>47</v>
      </c>
      <c r="E357" s="145">
        <v>103000</v>
      </c>
      <c r="F357" s="145">
        <v>120000</v>
      </c>
      <c r="G357" s="139">
        <f t="shared" si="30"/>
        <v>116.50485436893203</v>
      </c>
      <c r="H357" s="382">
        <f t="shared" si="31"/>
        <v>0.3938299967180834</v>
      </c>
      <c r="I357" s="412"/>
      <c r="J357" s="143">
        <v>105000</v>
      </c>
      <c r="K357" s="143"/>
    </row>
    <row r="358" spans="1:13" ht="12.75" customHeight="1">
      <c r="A358" s="120" t="s">
        <v>27</v>
      </c>
      <c r="B358" s="123"/>
      <c r="C358" s="60">
        <v>416100</v>
      </c>
      <c r="D358" s="82" t="s">
        <v>185</v>
      </c>
      <c r="E358" s="145">
        <v>103000</v>
      </c>
      <c r="F358" s="145">
        <v>120000</v>
      </c>
      <c r="G358" s="139">
        <f t="shared" si="30"/>
        <v>116.50485436893203</v>
      </c>
      <c r="H358" s="382">
        <f t="shared" si="31"/>
        <v>0.3938299967180834</v>
      </c>
      <c r="I358" s="420"/>
      <c r="J358" s="143">
        <v>105000</v>
      </c>
      <c r="K358" s="143"/>
      <c r="L358" s="421"/>
      <c r="M358" s="421"/>
    </row>
    <row r="359" spans="1:11" ht="12.75" customHeight="1">
      <c r="A359" s="120">
        <v>1090</v>
      </c>
      <c r="B359" s="123"/>
      <c r="C359" s="60">
        <v>416100</v>
      </c>
      <c r="D359" s="82" t="s">
        <v>101</v>
      </c>
      <c r="E359" s="145">
        <v>1047000</v>
      </c>
      <c r="F359" s="145">
        <v>1250000</v>
      </c>
      <c r="G359" s="139">
        <f t="shared" si="30"/>
        <v>119.38872970391594</v>
      </c>
      <c r="H359" s="382">
        <f t="shared" si="31"/>
        <v>4.102395799146702</v>
      </c>
      <c r="I359" s="412"/>
      <c r="J359" s="187">
        <v>1125000</v>
      </c>
      <c r="K359" s="187"/>
    </row>
    <row r="360" spans="1:11" ht="12.75">
      <c r="A360" s="120" t="s">
        <v>27</v>
      </c>
      <c r="B360" s="123"/>
      <c r="C360" s="60">
        <v>416100</v>
      </c>
      <c r="D360" s="82" t="s">
        <v>186</v>
      </c>
      <c r="E360" s="145">
        <v>1047000</v>
      </c>
      <c r="F360" s="145">
        <v>1250000</v>
      </c>
      <c r="G360" s="139">
        <f t="shared" si="30"/>
        <v>119.38872970391594</v>
      </c>
      <c r="H360" s="382">
        <f t="shared" si="31"/>
        <v>4.102395799146702</v>
      </c>
      <c r="I360" s="420"/>
      <c r="J360" s="187">
        <v>1125000</v>
      </c>
      <c r="K360" s="187"/>
    </row>
    <row r="361" spans="1:11" ht="12.75" customHeight="1">
      <c r="A361" s="120">
        <v>1090</v>
      </c>
      <c r="B361" s="123"/>
      <c r="C361" s="90">
        <v>416100</v>
      </c>
      <c r="D361" s="82" t="s">
        <v>49</v>
      </c>
      <c r="E361" s="145">
        <v>20000</v>
      </c>
      <c r="F361" s="145">
        <v>23000</v>
      </c>
      <c r="G361" s="139">
        <f t="shared" si="30"/>
        <v>114.99999999999999</v>
      </c>
      <c r="H361" s="382">
        <f t="shared" si="31"/>
        <v>0.07548408270429931</v>
      </c>
      <c r="I361" s="412"/>
      <c r="J361" s="145">
        <v>30000</v>
      </c>
      <c r="K361" s="145"/>
    </row>
    <row r="362" spans="1:11" ht="12.75" customHeight="1">
      <c r="A362" s="120">
        <v>1090</v>
      </c>
      <c r="B362" s="123"/>
      <c r="C362" s="90">
        <v>416100</v>
      </c>
      <c r="D362" s="82" t="s">
        <v>50</v>
      </c>
      <c r="E362" s="145">
        <v>52000</v>
      </c>
      <c r="F362" s="145">
        <v>52000</v>
      </c>
      <c r="G362" s="139">
        <f t="shared" si="30"/>
        <v>100</v>
      </c>
      <c r="H362" s="382">
        <f t="shared" si="31"/>
        <v>0.17065966524450277</v>
      </c>
      <c r="I362" s="412"/>
      <c r="J362" s="145">
        <v>60000</v>
      </c>
      <c r="K362" s="145"/>
    </row>
    <row r="363" spans="1:11" ht="26.25" customHeight="1">
      <c r="A363" s="120" t="s">
        <v>27</v>
      </c>
      <c r="B363" s="123"/>
      <c r="C363" s="90">
        <v>416100</v>
      </c>
      <c r="D363" s="82" t="s">
        <v>385</v>
      </c>
      <c r="E363" s="145">
        <v>467000</v>
      </c>
      <c r="F363" s="145">
        <v>570000</v>
      </c>
      <c r="G363" s="139">
        <f t="shared" si="30"/>
        <v>122.0556745182013</v>
      </c>
      <c r="H363" s="382">
        <f t="shared" si="31"/>
        <v>1.8706924844108959</v>
      </c>
      <c r="I363" s="420"/>
      <c r="J363" s="145">
        <v>467000</v>
      </c>
      <c r="K363" s="145"/>
    </row>
    <row r="364" spans="1:11" ht="38.25">
      <c r="A364" s="120" t="s">
        <v>27</v>
      </c>
      <c r="B364" s="123"/>
      <c r="C364" s="90">
        <v>416100</v>
      </c>
      <c r="D364" s="82" t="s">
        <v>402</v>
      </c>
      <c r="E364" s="145">
        <v>26500</v>
      </c>
      <c r="F364" s="145">
        <v>40000</v>
      </c>
      <c r="G364" s="139">
        <f t="shared" si="30"/>
        <v>150.9433962264151</v>
      </c>
      <c r="H364" s="382">
        <f t="shared" si="31"/>
        <v>0.13127666557269443</v>
      </c>
      <c r="I364" s="420"/>
      <c r="J364" s="145">
        <v>26500</v>
      </c>
      <c r="K364" s="145"/>
    </row>
    <row r="365" spans="1:11" ht="14.25" customHeight="1">
      <c r="A365" s="120" t="s">
        <v>27</v>
      </c>
      <c r="B365" s="123"/>
      <c r="C365" s="90">
        <v>416100</v>
      </c>
      <c r="D365" s="82" t="s">
        <v>415</v>
      </c>
      <c r="E365" s="145">
        <v>37000</v>
      </c>
      <c r="F365" s="145">
        <v>42400</v>
      </c>
      <c r="G365" s="139">
        <f t="shared" si="30"/>
        <v>114.5945945945946</v>
      </c>
      <c r="H365" s="382">
        <f t="shared" si="31"/>
        <v>0.13915326550705612</v>
      </c>
      <c r="I365" s="410"/>
      <c r="J365" s="145">
        <v>39000</v>
      </c>
      <c r="K365" s="145"/>
    </row>
    <row r="366" spans="1:14" ht="12.75">
      <c r="A366" s="120" t="s">
        <v>27</v>
      </c>
      <c r="B366" s="123"/>
      <c r="C366" s="60">
        <v>416300</v>
      </c>
      <c r="D366" s="123" t="s">
        <v>48</v>
      </c>
      <c r="E366" s="145">
        <v>95000</v>
      </c>
      <c r="F366" s="145">
        <v>125000</v>
      </c>
      <c r="G366" s="139">
        <f t="shared" si="30"/>
        <v>131.57894736842107</v>
      </c>
      <c r="H366" s="382">
        <f t="shared" si="31"/>
        <v>0.4102395799146702</v>
      </c>
      <c r="I366" s="410"/>
      <c r="J366" s="145">
        <v>100000</v>
      </c>
      <c r="K366" s="145"/>
      <c r="L366" s="417"/>
      <c r="M366" s="418"/>
      <c r="N366" s="1"/>
    </row>
    <row r="367" spans="1:13" ht="25.5">
      <c r="A367" s="120" t="s">
        <v>27</v>
      </c>
      <c r="B367" s="123"/>
      <c r="C367" s="60">
        <v>416300</v>
      </c>
      <c r="D367" s="82" t="s">
        <v>416</v>
      </c>
      <c r="E367" s="145">
        <v>9000</v>
      </c>
      <c r="F367" s="145">
        <v>9400</v>
      </c>
      <c r="G367" s="139">
        <f t="shared" si="30"/>
        <v>104.44444444444446</v>
      </c>
      <c r="H367" s="382">
        <f t="shared" si="31"/>
        <v>0.030850016409583198</v>
      </c>
      <c r="I367" s="410"/>
      <c r="J367" s="145">
        <v>9000</v>
      </c>
      <c r="K367" s="145"/>
      <c r="L367" s="417"/>
      <c r="M367" s="418"/>
    </row>
    <row r="368" spans="1:13" ht="12.75">
      <c r="A368" s="120">
        <v>1090</v>
      </c>
      <c r="B368" s="123"/>
      <c r="C368" s="60">
        <v>416300</v>
      </c>
      <c r="D368" s="82" t="s">
        <v>100</v>
      </c>
      <c r="E368" s="145">
        <v>340000</v>
      </c>
      <c r="F368" s="145">
        <v>470000</v>
      </c>
      <c r="G368" s="139">
        <f t="shared" si="30"/>
        <v>138.23529411764704</v>
      </c>
      <c r="H368" s="382">
        <f t="shared" si="31"/>
        <v>1.54250082047916</v>
      </c>
      <c r="I368" s="410"/>
      <c r="J368" s="187">
        <v>377000</v>
      </c>
      <c r="K368" s="187"/>
      <c r="L368" s="417"/>
      <c r="M368" s="418"/>
    </row>
    <row r="369" spans="1:13" ht="25.5">
      <c r="A369" s="120" t="s">
        <v>27</v>
      </c>
      <c r="B369" s="123"/>
      <c r="C369" s="60">
        <v>418200</v>
      </c>
      <c r="D369" s="82" t="s">
        <v>438</v>
      </c>
      <c r="E369" s="145">
        <v>17000</v>
      </c>
      <c r="F369" s="145">
        <v>22000</v>
      </c>
      <c r="G369" s="139">
        <f t="shared" si="30"/>
        <v>129.41176470588235</v>
      </c>
      <c r="H369" s="382">
        <f t="shared" si="31"/>
        <v>0.07220216606498195</v>
      </c>
      <c r="I369" s="410"/>
      <c r="J369" s="145">
        <v>17100</v>
      </c>
      <c r="K369" s="145"/>
      <c r="L369" s="363"/>
      <c r="M369" s="416"/>
    </row>
    <row r="370" spans="1:11" ht="12.75">
      <c r="A370" s="120" t="s">
        <v>27</v>
      </c>
      <c r="B370" s="47"/>
      <c r="C370" s="90">
        <v>487400</v>
      </c>
      <c r="D370" s="87" t="s">
        <v>46</v>
      </c>
      <c r="E370" s="145">
        <v>100000</v>
      </c>
      <c r="F370" s="145">
        <v>107000</v>
      </c>
      <c r="G370" s="139">
        <f t="shared" si="30"/>
        <v>107</v>
      </c>
      <c r="H370" s="382">
        <f t="shared" si="31"/>
        <v>0.3511650804069577</v>
      </c>
      <c r="I370" s="410"/>
      <c r="J370" s="187">
        <v>104000</v>
      </c>
      <c r="K370" s="187"/>
    </row>
    <row r="371" spans="1:11" ht="12.75" customHeight="1">
      <c r="A371" s="120" t="s">
        <v>27</v>
      </c>
      <c r="B371" s="123"/>
      <c r="C371" s="90">
        <v>487400</v>
      </c>
      <c r="D371" s="87" t="s">
        <v>187</v>
      </c>
      <c r="E371" s="145">
        <v>78000</v>
      </c>
      <c r="F371" s="145">
        <v>86000</v>
      </c>
      <c r="G371" s="139">
        <f t="shared" si="30"/>
        <v>110.25641025641026</v>
      </c>
      <c r="H371" s="382">
        <f t="shared" si="31"/>
        <v>0.2822448309812931</v>
      </c>
      <c r="I371" s="314"/>
      <c r="J371" s="139">
        <v>78000</v>
      </c>
      <c r="K371" s="139"/>
    </row>
    <row r="372" spans="1:11" ht="12.75" customHeight="1">
      <c r="A372" s="120"/>
      <c r="B372" s="47">
        <v>418000</v>
      </c>
      <c r="C372" s="60"/>
      <c r="D372" s="134" t="s">
        <v>485</v>
      </c>
      <c r="E372" s="174">
        <f>SUM(E373:E374)</f>
        <v>42400</v>
      </c>
      <c r="F372" s="174">
        <f>SUM(F373:F374)</f>
        <v>42400</v>
      </c>
      <c r="G372" s="136">
        <f>IF(E372&gt;0,F372/E372*100,0)</f>
        <v>100</v>
      </c>
      <c r="H372" s="172">
        <f t="shared" si="31"/>
        <v>0.13915326550705612</v>
      </c>
      <c r="I372" s="314"/>
      <c r="J372" s="139"/>
      <c r="K372" s="139"/>
    </row>
    <row r="373" spans="1:11" ht="12.75" customHeight="1">
      <c r="A373" s="120" t="s">
        <v>27</v>
      </c>
      <c r="B373" s="47"/>
      <c r="C373" s="60">
        <v>418400</v>
      </c>
      <c r="D373" s="82" t="s">
        <v>118</v>
      </c>
      <c r="E373" s="145">
        <v>22900</v>
      </c>
      <c r="F373" s="145">
        <v>22900</v>
      </c>
      <c r="G373" s="139">
        <f>IF(E373&gt;0,F373/E373*100,0)</f>
        <v>100</v>
      </c>
      <c r="H373" s="382">
        <f t="shared" si="31"/>
        <v>0.07515589104036757</v>
      </c>
      <c r="I373" s="314"/>
      <c r="J373" s="139"/>
      <c r="K373" s="139"/>
    </row>
    <row r="374" spans="1:11" ht="12.75" customHeight="1">
      <c r="A374" s="120" t="s">
        <v>27</v>
      </c>
      <c r="B374" s="123"/>
      <c r="C374" s="60">
        <v>418400</v>
      </c>
      <c r="D374" s="483" t="s">
        <v>624</v>
      </c>
      <c r="E374" s="145">
        <v>19500</v>
      </c>
      <c r="F374" s="145">
        <v>19500</v>
      </c>
      <c r="G374" s="139">
        <f>IF(E374&gt;0,F374/E374*100,0)</f>
        <v>100</v>
      </c>
      <c r="H374" s="382">
        <f t="shared" si="31"/>
        <v>0.06399737446668854</v>
      </c>
      <c r="I374" s="314"/>
      <c r="J374" s="139"/>
      <c r="K374" s="139"/>
    </row>
    <row r="375" spans="1:11" ht="12.75" customHeight="1">
      <c r="A375" s="120"/>
      <c r="B375" s="47">
        <v>419000</v>
      </c>
      <c r="C375" s="60"/>
      <c r="D375" s="134" t="s">
        <v>287</v>
      </c>
      <c r="E375" s="174">
        <f>SUM(E376)</f>
        <v>2500</v>
      </c>
      <c r="F375" s="136">
        <f>SUM(F376)</f>
        <v>2500</v>
      </c>
      <c r="G375" s="136">
        <f t="shared" si="30"/>
        <v>100</v>
      </c>
      <c r="H375" s="172">
        <f t="shared" si="31"/>
        <v>0.008204791598293402</v>
      </c>
      <c r="I375" s="6"/>
      <c r="J375" s="174">
        <f>SUM(J376)</f>
        <v>2500</v>
      </c>
      <c r="K375" s="174">
        <f>SUM(K376)</f>
        <v>0</v>
      </c>
    </row>
    <row r="376" spans="1:11" ht="12.75" customHeight="1">
      <c r="A376" s="120" t="s">
        <v>27</v>
      </c>
      <c r="B376" s="123"/>
      <c r="C376" s="60">
        <v>419100</v>
      </c>
      <c r="D376" s="123" t="s">
        <v>287</v>
      </c>
      <c r="E376" s="143">
        <v>2500</v>
      </c>
      <c r="F376" s="143">
        <v>2500</v>
      </c>
      <c r="G376" s="139">
        <f t="shared" si="30"/>
        <v>100</v>
      </c>
      <c r="H376" s="382">
        <f t="shared" si="31"/>
        <v>0.008204791598293402</v>
      </c>
      <c r="I376" s="6"/>
      <c r="J376" s="143">
        <v>2500</v>
      </c>
      <c r="K376" s="143"/>
    </row>
    <row r="377" spans="1:11" ht="14.25" customHeight="1">
      <c r="A377" s="120"/>
      <c r="B377" s="47">
        <v>511000</v>
      </c>
      <c r="C377" s="60"/>
      <c r="D377" s="134" t="s">
        <v>133</v>
      </c>
      <c r="E377" s="174">
        <f>SUM(E378:E378)</f>
        <v>1500</v>
      </c>
      <c r="F377" s="136">
        <f>SUM(F378:F378)</f>
        <v>1500</v>
      </c>
      <c r="G377" s="136">
        <f t="shared" si="30"/>
        <v>100</v>
      </c>
      <c r="H377" s="172">
        <f t="shared" si="31"/>
        <v>0.004922874958976042</v>
      </c>
      <c r="I377" s="6"/>
      <c r="J377" s="174">
        <f>SUM(J378:J378)</f>
        <v>2000</v>
      </c>
      <c r="K377" s="174">
        <f>SUM(K378:K378)</f>
        <v>0</v>
      </c>
    </row>
    <row r="378" spans="1:11" ht="12.75" customHeight="1">
      <c r="A378" s="120">
        <v>1090</v>
      </c>
      <c r="B378" s="123"/>
      <c r="C378" s="60">
        <v>511300</v>
      </c>
      <c r="D378" s="123" t="s">
        <v>2</v>
      </c>
      <c r="E378" s="143">
        <v>1500</v>
      </c>
      <c r="F378" s="143">
        <v>1500</v>
      </c>
      <c r="G378" s="139">
        <f t="shared" si="30"/>
        <v>100</v>
      </c>
      <c r="H378" s="382">
        <f t="shared" si="31"/>
        <v>0.004922874958976042</v>
      </c>
      <c r="I378" s="6"/>
      <c r="J378" s="143">
        <v>2000</v>
      </c>
      <c r="K378" s="143"/>
    </row>
    <row r="379" spans="1:11" ht="16.5" customHeight="1">
      <c r="A379" s="127"/>
      <c r="B379" s="47">
        <v>516000</v>
      </c>
      <c r="C379" s="123"/>
      <c r="D379" s="134" t="s">
        <v>274</v>
      </c>
      <c r="E379" s="140">
        <f>SUM(E380)</f>
        <v>1000</v>
      </c>
      <c r="F379" s="136">
        <f>SUM(F380)</f>
        <v>2000</v>
      </c>
      <c r="G379" s="136">
        <f t="shared" si="30"/>
        <v>200</v>
      </c>
      <c r="H379" s="172">
        <f t="shared" si="31"/>
        <v>0.006563833278634723</v>
      </c>
      <c r="I379" s="6"/>
      <c r="J379" s="140">
        <f>SUM(J380)</f>
        <v>1000</v>
      </c>
      <c r="K379" s="174">
        <f>SUM(K380)</f>
        <v>0</v>
      </c>
    </row>
    <row r="380" spans="1:11" ht="12.75">
      <c r="A380" s="127" t="s">
        <v>27</v>
      </c>
      <c r="B380" s="123"/>
      <c r="C380" s="123">
        <v>516100</v>
      </c>
      <c r="D380" s="82" t="s">
        <v>265</v>
      </c>
      <c r="E380" s="143">
        <v>1000</v>
      </c>
      <c r="F380" s="143">
        <v>2000</v>
      </c>
      <c r="G380" s="139">
        <f t="shared" si="30"/>
        <v>200</v>
      </c>
      <c r="H380" s="382">
        <f t="shared" si="31"/>
        <v>0.006563833278634723</v>
      </c>
      <c r="I380" s="6"/>
      <c r="J380" s="143">
        <v>1000</v>
      </c>
      <c r="K380" s="143"/>
    </row>
    <row r="381" spans="1:11" ht="15.75" customHeight="1">
      <c r="A381" s="127"/>
      <c r="B381" s="47">
        <v>638000</v>
      </c>
      <c r="C381" s="60"/>
      <c r="D381" s="134" t="s">
        <v>301</v>
      </c>
      <c r="E381" s="140">
        <f>SUM(E382)</f>
        <v>10300</v>
      </c>
      <c r="F381" s="136">
        <f>SUM(F382)</f>
        <v>4000</v>
      </c>
      <c r="G381" s="136">
        <f t="shared" si="30"/>
        <v>38.83495145631068</v>
      </c>
      <c r="H381" s="172">
        <f t="shared" si="31"/>
        <v>0.013127666557269446</v>
      </c>
      <c r="I381" s="6"/>
      <c r="J381" s="140">
        <f>SUM(J382)</f>
        <v>19950</v>
      </c>
      <c r="K381" s="174">
        <f>SUM(K382)</f>
        <v>0</v>
      </c>
    </row>
    <row r="382" spans="1:11" ht="25.5" customHeight="1">
      <c r="A382" s="120"/>
      <c r="B382" s="123"/>
      <c r="C382" s="60">
        <v>638100</v>
      </c>
      <c r="D382" s="82" t="s">
        <v>302</v>
      </c>
      <c r="E382" s="145">
        <v>10300</v>
      </c>
      <c r="F382" s="145">
        <v>4000</v>
      </c>
      <c r="G382" s="139">
        <f t="shared" si="30"/>
        <v>38.83495145631068</v>
      </c>
      <c r="H382" s="382">
        <f t="shared" si="31"/>
        <v>0.013127666557269446</v>
      </c>
      <c r="I382" s="6"/>
      <c r="J382" s="145">
        <v>19950</v>
      </c>
      <c r="K382" s="145"/>
    </row>
    <row r="383" spans="1:11" ht="26.25" customHeight="1">
      <c r="A383" s="522"/>
      <c r="B383" s="523"/>
      <c r="C383" s="524" t="s">
        <v>85</v>
      </c>
      <c r="D383" s="525"/>
      <c r="E383" s="158">
        <f>E341+E346+E356+E372+E375+E377+E379+E381</f>
        <v>4178000</v>
      </c>
      <c r="F383" s="158">
        <f>F341+F346+F356+F372+F375+F377+F379+F381</f>
        <v>4953900</v>
      </c>
      <c r="G383" s="359">
        <f t="shared" si="30"/>
        <v>118.57108664432742</v>
      </c>
      <c r="H383" s="339">
        <f t="shared" si="31"/>
        <v>16.258286839514277</v>
      </c>
      <c r="I383" s="6"/>
      <c r="J383" s="158">
        <f>J341+J346+J356+J375+J377+J379+J381</f>
        <v>4345170</v>
      </c>
      <c r="K383" s="440">
        <f>K341+K346+K356+K375+K377+K379+K381</f>
        <v>0</v>
      </c>
    </row>
    <row r="384" spans="1:11" ht="12.75">
      <c r="A384" s="160"/>
      <c r="B384" s="161"/>
      <c r="C384" s="526" t="s">
        <v>494</v>
      </c>
      <c r="D384" s="527"/>
      <c r="E384" s="162"/>
      <c r="F384" s="162"/>
      <c r="G384" s="162"/>
      <c r="H384" s="226"/>
      <c r="I384" s="6"/>
      <c r="J384" s="162"/>
      <c r="K384" s="162"/>
    </row>
    <row r="385" spans="1:11" ht="12.75">
      <c r="A385" s="164"/>
      <c r="B385" s="165"/>
      <c r="C385" s="527"/>
      <c r="D385" s="527"/>
      <c r="E385" s="166"/>
      <c r="F385" s="166"/>
      <c r="G385" s="166"/>
      <c r="H385" s="227"/>
      <c r="I385" s="6"/>
      <c r="J385" s="166">
        <f>J388+J390+J408</f>
        <v>667000</v>
      </c>
      <c r="K385" s="166"/>
    </row>
    <row r="386" spans="1:11" ht="18" customHeight="1">
      <c r="A386" s="168"/>
      <c r="B386" s="169"/>
      <c r="C386" s="527"/>
      <c r="D386" s="527"/>
      <c r="E386" s="170"/>
      <c r="F386" s="170"/>
      <c r="G386" s="170"/>
      <c r="H386" s="228"/>
      <c r="I386" s="6"/>
      <c r="J386" s="170"/>
      <c r="K386" s="170"/>
    </row>
    <row r="387" spans="1:11" ht="12.75">
      <c r="A387" s="120"/>
      <c r="B387" s="47">
        <v>411000</v>
      </c>
      <c r="C387" s="123"/>
      <c r="D387" s="65" t="s">
        <v>303</v>
      </c>
      <c r="E387" s="135">
        <f>SUM(E388:E391)</f>
        <v>807200</v>
      </c>
      <c r="F387" s="136">
        <f>SUM(F388:F391)</f>
        <v>781500</v>
      </c>
      <c r="G387" s="136">
        <f aca="true" t="shared" si="32" ref="G387:G409">IF(E387&gt;0,F387/E387*100,0)</f>
        <v>96.81615460852329</v>
      </c>
      <c r="H387" s="172">
        <f aca="true" t="shared" si="33" ref="H387:H409">F387/$F$587*100</f>
        <v>2.564817853626518</v>
      </c>
      <c r="I387" s="6"/>
      <c r="J387" s="140">
        <f>SUM(J388:J391)</f>
        <v>850220</v>
      </c>
      <c r="K387" s="174">
        <f>SUM(K388:K391)</f>
        <v>0</v>
      </c>
    </row>
    <row r="388" spans="1:11" ht="12.75">
      <c r="A388" s="120" t="s">
        <v>52</v>
      </c>
      <c r="B388" s="123"/>
      <c r="C388" s="60">
        <v>411100</v>
      </c>
      <c r="D388" s="66" t="s">
        <v>299</v>
      </c>
      <c r="E388" s="187">
        <v>580000</v>
      </c>
      <c r="F388" s="187">
        <v>561000</v>
      </c>
      <c r="G388" s="139">
        <f t="shared" si="32"/>
        <v>96.72413793103448</v>
      </c>
      <c r="H388" s="382">
        <f t="shared" si="33"/>
        <v>1.84115523465704</v>
      </c>
      <c r="I388" s="6"/>
      <c r="J388" s="187">
        <v>605000</v>
      </c>
      <c r="K388" s="187"/>
    </row>
    <row r="389" spans="1:11" ht="25.5" customHeight="1">
      <c r="A389" s="120" t="s">
        <v>52</v>
      </c>
      <c r="B389" s="123"/>
      <c r="C389" s="60">
        <v>411200</v>
      </c>
      <c r="D389" s="66" t="s">
        <v>304</v>
      </c>
      <c r="E389" s="145">
        <v>204000</v>
      </c>
      <c r="F389" s="145">
        <v>196000</v>
      </c>
      <c r="G389" s="139">
        <f t="shared" si="32"/>
        <v>96.07843137254902</v>
      </c>
      <c r="H389" s="382">
        <f t="shared" si="33"/>
        <v>0.6432556613062028</v>
      </c>
      <c r="I389" s="6"/>
      <c r="J389" s="145">
        <v>222050</v>
      </c>
      <c r="K389" s="145"/>
    </row>
    <row r="390" spans="1:11" ht="25.5">
      <c r="A390" s="120" t="s">
        <v>52</v>
      </c>
      <c r="B390" s="123"/>
      <c r="C390" s="60">
        <v>411300</v>
      </c>
      <c r="D390" s="66" t="s">
        <v>380</v>
      </c>
      <c r="E390" s="143">
        <v>17000</v>
      </c>
      <c r="F390" s="143">
        <v>15000</v>
      </c>
      <c r="G390" s="139">
        <f t="shared" si="32"/>
        <v>88.23529411764706</v>
      </c>
      <c r="H390" s="382">
        <f t="shared" si="33"/>
        <v>0.04922874958976042</v>
      </c>
      <c r="I390" s="6"/>
      <c r="J390" s="143">
        <v>17000</v>
      </c>
      <c r="K390" s="143"/>
    </row>
    <row r="391" spans="1:11" ht="12.75">
      <c r="A391" s="120" t="s">
        <v>52</v>
      </c>
      <c r="B391" s="123"/>
      <c r="C391" s="60">
        <v>411400</v>
      </c>
      <c r="D391" s="67" t="s">
        <v>300</v>
      </c>
      <c r="E391" s="143">
        <v>6200</v>
      </c>
      <c r="F391" s="143">
        <v>9500</v>
      </c>
      <c r="G391" s="139">
        <f t="shared" si="32"/>
        <v>153.2258064516129</v>
      </c>
      <c r="H391" s="382">
        <f t="shared" si="33"/>
        <v>0.031178208073514933</v>
      </c>
      <c r="I391" s="6"/>
      <c r="J391" s="143">
        <v>6170</v>
      </c>
      <c r="K391" s="143"/>
    </row>
    <row r="392" spans="1:11" ht="12.75">
      <c r="A392" s="120"/>
      <c r="B392" s="47">
        <v>412000</v>
      </c>
      <c r="C392" s="60"/>
      <c r="D392" s="134" t="s">
        <v>117</v>
      </c>
      <c r="E392" s="174">
        <f>SUM(E393:E400)</f>
        <v>160000</v>
      </c>
      <c r="F392" s="136">
        <f>SUM(F393:F400)</f>
        <v>177000</v>
      </c>
      <c r="G392" s="136">
        <f t="shared" si="32"/>
        <v>110.625</v>
      </c>
      <c r="H392" s="172">
        <f t="shared" si="33"/>
        <v>0.580899245159173</v>
      </c>
      <c r="I392" s="6"/>
      <c r="J392" s="174">
        <f>SUM(J393:J400)</f>
        <v>254410</v>
      </c>
      <c r="K392" s="174">
        <f>SUM(K393:K400)</f>
        <v>0</v>
      </c>
    </row>
    <row r="393" spans="1:11" ht="25.5">
      <c r="A393" s="120" t="s">
        <v>52</v>
      </c>
      <c r="B393" s="47"/>
      <c r="C393" s="60">
        <v>412200</v>
      </c>
      <c r="D393" s="82" t="s">
        <v>119</v>
      </c>
      <c r="E393" s="143">
        <v>52000</v>
      </c>
      <c r="F393" s="143">
        <v>52000</v>
      </c>
      <c r="G393" s="139">
        <f t="shared" si="32"/>
        <v>100</v>
      </c>
      <c r="H393" s="382">
        <f t="shared" si="33"/>
        <v>0.17065966524450277</v>
      </c>
      <c r="I393" s="6"/>
      <c r="J393" s="143">
        <v>70600</v>
      </c>
      <c r="K393" s="143"/>
    </row>
    <row r="394" spans="1:11" ht="12.75">
      <c r="A394" s="120" t="s">
        <v>52</v>
      </c>
      <c r="B394" s="47"/>
      <c r="C394" s="60">
        <v>412300</v>
      </c>
      <c r="D394" s="123" t="s">
        <v>120</v>
      </c>
      <c r="E394" s="143">
        <v>15500</v>
      </c>
      <c r="F394" s="143">
        <v>15500</v>
      </c>
      <c r="G394" s="139">
        <f t="shared" si="32"/>
        <v>100</v>
      </c>
      <c r="H394" s="382">
        <f t="shared" si="33"/>
        <v>0.05086970790941911</v>
      </c>
      <c r="I394" s="6"/>
      <c r="J394" s="143">
        <v>17400</v>
      </c>
      <c r="K394" s="143"/>
    </row>
    <row r="395" spans="1:11" ht="12.75">
      <c r="A395" s="120" t="s">
        <v>52</v>
      </c>
      <c r="B395" s="47"/>
      <c r="C395" s="60">
        <v>412400</v>
      </c>
      <c r="D395" s="82" t="s">
        <v>121</v>
      </c>
      <c r="E395" s="145">
        <v>62000</v>
      </c>
      <c r="F395" s="145">
        <v>75000</v>
      </c>
      <c r="G395" s="139">
        <f t="shared" si="32"/>
        <v>120.96774193548387</v>
      </c>
      <c r="H395" s="382">
        <f t="shared" si="33"/>
        <v>0.2461437479488021</v>
      </c>
      <c r="I395" s="6"/>
      <c r="J395" s="145">
        <v>100000</v>
      </c>
      <c r="K395" s="145"/>
    </row>
    <row r="396" spans="1:11" ht="12.75">
      <c r="A396" s="120" t="s">
        <v>52</v>
      </c>
      <c r="B396" s="47"/>
      <c r="C396" s="60">
        <v>412500</v>
      </c>
      <c r="D396" s="123" t="s">
        <v>122</v>
      </c>
      <c r="E396" s="145">
        <v>10000</v>
      </c>
      <c r="F396" s="145">
        <v>13000</v>
      </c>
      <c r="G396" s="139">
        <f t="shared" si="32"/>
        <v>130</v>
      </c>
      <c r="H396" s="382">
        <f t="shared" si="33"/>
        <v>0.04266491631112569</v>
      </c>
      <c r="I396" s="6"/>
      <c r="J396" s="145">
        <v>40000</v>
      </c>
      <c r="K396" s="145"/>
    </row>
    <row r="397" spans="1:11" ht="12.75">
      <c r="A397" s="120" t="s">
        <v>52</v>
      </c>
      <c r="B397" s="47"/>
      <c r="C397" s="60">
        <v>412600</v>
      </c>
      <c r="D397" s="123" t="s">
        <v>123</v>
      </c>
      <c r="E397" s="145">
        <v>1000</v>
      </c>
      <c r="F397" s="145">
        <v>1000</v>
      </c>
      <c r="G397" s="139">
        <f t="shared" si="32"/>
        <v>100</v>
      </c>
      <c r="H397" s="382">
        <f t="shared" si="33"/>
        <v>0.0032819166393173614</v>
      </c>
      <c r="I397" s="6"/>
      <c r="J397" s="145">
        <v>3000</v>
      </c>
      <c r="K397" s="145"/>
    </row>
    <row r="398" spans="1:11" ht="12.75">
      <c r="A398" s="120" t="s">
        <v>52</v>
      </c>
      <c r="B398" s="47"/>
      <c r="C398" s="123">
        <v>412700</v>
      </c>
      <c r="D398" s="123" t="s">
        <v>124</v>
      </c>
      <c r="E398" s="145">
        <v>2500</v>
      </c>
      <c r="F398" s="145">
        <v>2500</v>
      </c>
      <c r="G398" s="139">
        <f t="shared" si="32"/>
        <v>100</v>
      </c>
      <c r="H398" s="382">
        <f t="shared" si="33"/>
        <v>0.008204791598293402</v>
      </c>
      <c r="I398" s="6"/>
      <c r="J398" s="145">
        <v>2500</v>
      </c>
      <c r="K398" s="145"/>
    </row>
    <row r="399" spans="1:11" ht="12.75">
      <c r="A399" s="120" t="s">
        <v>52</v>
      </c>
      <c r="B399" s="47"/>
      <c r="C399" s="123">
        <v>412900</v>
      </c>
      <c r="D399" s="123" t="s">
        <v>126</v>
      </c>
      <c r="E399" s="145">
        <v>12000</v>
      </c>
      <c r="F399" s="145">
        <v>12000</v>
      </c>
      <c r="G399" s="139">
        <f t="shared" si="32"/>
        <v>100</v>
      </c>
      <c r="H399" s="382">
        <f t="shared" si="33"/>
        <v>0.03938299967180833</v>
      </c>
      <c r="I399" s="6"/>
      <c r="J399" s="145">
        <v>16000</v>
      </c>
      <c r="K399" s="145"/>
    </row>
    <row r="400" spans="1:11" ht="38.25">
      <c r="A400" s="120" t="s">
        <v>52</v>
      </c>
      <c r="B400" s="47"/>
      <c r="C400" s="123">
        <v>412900</v>
      </c>
      <c r="D400" s="82" t="s">
        <v>326</v>
      </c>
      <c r="E400" s="145">
        <v>5000</v>
      </c>
      <c r="F400" s="145">
        <v>6000</v>
      </c>
      <c r="G400" s="139">
        <f t="shared" si="32"/>
        <v>120</v>
      </c>
      <c r="H400" s="382">
        <f t="shared" si="33"/>
        <v>0.019691499835904167</v>
      </c>
      <c r="I400" s="6"/>
      <c r="J400" s="145">
        <v>4910</v>
      </c>
      <c r="K400" s="145"/>
    </row>
    <row r="401" spans="1:11" ht="25.5">
      <c r="A401" s="120"/>
      <c r="B401" s="47">
        <v>418000</v>
      </c>
      <c r="C401" s="123"/>
      <c r="D401" s="393" t="s">
        <v>625</v>
      </c>
      <c r="E401" s="379">
        <f>SUM(E402)</f>
        <v>2000</v>
      </c>
      <c r="F401" s="379">
        <f>SUM(F402)</f>
        <v>2000</v>
      </c>
      <c r="G401" s="229">
        <f t="shared" si="32"/>
        <v>100</v>
      </c>
      <c r="H401" s="394">
        <f t="shared" si="33"/>
        <v>0.006563833278634723</v>
      </c>
      <c r="I401" s="6"/>
      <c r="J401" s="379">
        <f>SUM(J402)</f>
        <v>1000</v>
      </c>
      <c r="K401" s="379">
        <f>SUM(K402)</f>
        <v>0</v>
      </c>
    </row>
    <row r="402" spans="1:11" ht="25.5">
      <c r="A402" s="120" t="s">
        <v>52</v>
      </c>
      <c r="B402" s="395"/>
      <c r="C402" s="123">
        <v>418400</v>
      </c>
      <c r="D402" s="82" t="s">
        <v>649</v>
      </c>
      <c r="E402" s="145">
        <v>2000</v>
      </c>
      <c r="F402" s="145">
        <v>2000</v>
      </c>
      <c r="G402" s="139">
        <f t="shared" si="32"/>
        <v>100</v>
      </c>
      <c r="H402" s="382">
        <f t="shared" si="33"/>
        <v>0.006563833278634723</v>
      </c>
      <c r="I402" s="6"/>
      <c r="J402" s="145">
        <v>1000</v>
      </c>
      <c r="K402" s="145"/>
    </row>
    <row r="403" spans="1:11" ht="12.75">
      <c r="A403" s="120"/>
      <c r="B403" s="47">
        <v>511000</v>
      </c>
      <c r="C403" s="60"/>
      <c r="D403" s="134" t="s">
        <v>133</v>
      </c>
      <c r="E403" s="174">
        <f>SUM(E404:E404)</f>
        <v>4000</v>
      </c>
      <c r="F403" s="136">
        <f>SUM(F404:F404)</f>
        <v>7000</v>
      </c>
      <c r="G403" s="136">
        <f t="shared" si="32"/>
        <v>175</v>
      </c>
      <c r="H403" s="172">
        <f t="shared" si="33"/>
        <v>0.02297341647522153</v>
      </c>
      <c r="I403" s="6"/>
      <c r="J403" s="174">
        <f>SUM(J404:J404)</f>
        <v>25000</v>
      </c>
      <c r="K403" s="174">
        <f>SUM(K404:K404)</f>
        <v>0</v>
      </c>
    </row>
    <row r="404" spans="1:11" ht="12.75">
      <c r="A404" s="120" t="s">
        <v>52</v>
      </c>
      <c r="B404" s="47"/>
      <c r="C404" s="60">
        <v>511300</v>
      </c>
      <c r="D404" s="123" t="s">
        <v>2</v>
      </c>
      <c r="E404" s="145">
        <v>4000</v>
      </c>
      <c r="F404" s="145">
        <v>7000</v>
      </c>
      <c r="G404" s="139">
        <f t="shared" si="32"/>
        <v>175</v>
      </c>
      <c r="H404" s="382">
        <f t="shared" si="33"/>
        <v>0.02297341647522153</v>
      </c>
      <c r="I404" s="6"/>
      <c r="J404" s="145">
        <v>25000</v>
      </c>
      <c r="K404" s="145"/>
    </row>
    <row r="405" spans="1:11" ht="16.5" customHeight="1">
      <c r="A405" s="120"/>
      <c r="B405" s="47">
        <v>516000</v>
      </c>
      <c r="C405" s="60"/>
      <c r="D405" s="134" t="s">
        <v>274</v>
      </c>
      <c r="E405" s="174">
        <f>SUM(E406:E406)</f>
        <v>5000</v>
      </c>
      <c r="F405" s="136">
        <f>SUM(F406:F406)</f>
        <v>6000</v>
      </c>
      <c r="G405" s="136">
        <f t="shared" si="32"/>
        <v>120</v>
      </c>
      <c r="H405" s="172">
        <f t="shared" si="33"/>
        <v>0.019691499835904167</v>
      </c>
      <c r="I405" s="6"/>
      <c r="J405" s="174">
        <f>SUM(J406:J406)</f>
        <v>7000</v>
      </c>
      <c r="K405" s="174">
        <f>SUM(K406:K406)</f>
        <v>0</v>
      </c>
    </row>
    <row r="406" spans="1:11" ht="12.75">
      <c r="A406" s="120" t="s">
        <v>52</v>
      </c>
      <c r="B406" s="123"/>
      <c r="C406" s="60">
        <v>516100</v>
      </c>
      <c r="D406" s="123" t="s">
        <v>266</v>
      </c>
      <c r="E406" s="145">
        <v>5000</v>
      </c>
      <c r="F406" s="145">
        <v>6000</v>
      </c>
      <c r="G406" s="139">
        <f t="shared" si="32"/>
        <v>120</v>
      </c>
      <c r="H406" s="382">
        <f t="shared" si="33"/>
        <v>0.019691499835904167</v>
      </c>
      <c r="I406" s="6"/>
      <c r="J406" s="145">
        <v>7000</v>
      </c>
      <c r="K406" s="145"/>
    </row>
    <row r="407" spans="1:11" ht="25.5">
      <c r="A407" s="120"/>
      <c r="B407" s="47">
        <v>638000</v>
      </c>
      <c r="C407" s="60"/>
      <c r="D407" s="134" t="s">
        <v>301</v>
      </c>
      <c r="E407" s="140">
        <f>SUM(E408)</f>
        <v>50000</v>
      </c>
      <c r="F407" s="136">
        <f>SUM(F408)</f>
        <v>60000</v>
      </c>
      <c r="G407" s="136">
        <f t="shared" si="32"/>
        <v>120</v>
      </c>
      <c r="H407" s="172">
        <f t="shared" si="33"/>
        <v>0.1969149983590417</v>
      </c>
      <c r="I407" s="6"/>
      <c r="J407" s="140">
        <f>SUM(J408)</f>
        <v>45000</v>
      </c>
      <c r="K407" s="174">
        <f>SUM(K408)</f>
        <v>0</v>
      </c>
    </row>
    <row r="408" spans="1:11" ht="38.25">
      <c r="A408" s="120"/>
      <c r="B408" s="123"/>
      <c r="C408" s="60">
        <v>638100</v>
      </c>
      <c r="D408" s="355" t="s">
        <v>302</v>
      </c>
      <c r="E408" s="239">
        <v>50000</v>
      </c>
      <c r="F408" s="143">
        <v>60000</v>
      </c>
      <c r="G408" s="139">
        <f t="shared" si="32"/>
        <v>120</v>
      </c>
      <c r="H408" s="382">
        <f t="shared" si="33"/>
        <v>0.1969149983590417</v>
      </c>
      <c r="I408" s="6"/>
      <c r="J408" s="239">
        <v>45000</v>
      </c>
      <c r="K408" s="142"/>
    </row>
    <row r="409" spans="1:11" ht="25.5" customHeight="1">
      <c r="A409" s="522"/>
      <c r="B409" s="523"/>
      <c r="C409" s="524" t="s">
        <v>89</v>
      </c>
      <c r="D409" s="525"/>
      <c r="E409" s="158">
        <f>E387+E392+E401+E403+E405+E407</f>
        <v>1028200</v>
      </c>
      <c r="F409" s="439">
        <f>F387+F392+F401+F403+F405+F407</f>
        <v>1033500</v>
      </c>
      <c r="G409" s="359">
        <f t="shared" si="32"/>
        <v>100.51546391752578</v>
      </c>
      <c r="H409" s="339">
        <f t="shared" si="33"/>
        <v>3.391860846734493</v>
      </c>
      <c r="I409" s="6"/>
      <c r="J409" s="158">
        <f>J387+J392+J401+J403+J405+J407</f>
        <v>1182630</v>
      </c>
      <c r="K409" s="440">
        <f>K387+K392+K401+K403+K405+K407</f>
        <v>0</v>
      </c>
    </row>
    <row r="410" spans="1:11" ht="41.25" customHeight="1">
      <c r="A410" s="240"/>
      <c r="B410" s="219"/>
      <c r="C410" s="565" t="s">
        <v>525</v>
      </c>
      <c r="D410" s="566"/>
      <c r="E410" s="326"/>
      <c r="F410" s="326"/>
      <c r="G410" s="327"/>
      <c r="H410" s="330"/>
      <c r="I410" s="6"/>
      <c r="J410" s="326"/>
      <c r="K410" s="326"/>
    </row>
    <row r="411" spans="1:11" ht="12.75">
      <c r="A411" s="240"/>
      <c r="B411" s="331" t="s">
        <v>333</v>
      </c>
      <c r="C411" s="404"/>
      <c r="D411" s="348" t="s">
        <v>303</v>
      </c>
      <c r="E411" s="335">
        <f>SUM(E412:E415)</f>
        <v>4651500</v>
      </c>
      <c r="F411" s="335">
        <f>SUM(F412:F415)</f>
        <v>4686300</v>
      </c>
      <c r="G411" s="335">
        <f aca="true" t="shared" si="34" ref="G411:G450">IF(E411&gt;0,F411/E411*100,0)</f>
        <v>100.74814575943245</v>
      </c>
      <c r="H411" s="336">
        <f aca="true" t="shared" si="35" ref="H411:H450">F411/$F$587*100</f>
        <v>15.38004594683295</v>
      </c>
      <c r="I411" s="349"/>
      <c r="J411" s="335">
        <f>SUM(J412:J415)</f>
        <v>4651500</v>
      </c>
      <c r="K411" s="458">
        <f>SUM(K412:K415)</f>
        <v>320000</v>
      </c>
    </row>
    <row r="412" spans="1:11" ht="12.75">
      <c r="A412" s="240" t="s">
        <v>539</v>
      </c>
      <c r="B412" s="219"/>
      <c r="C412" s="466">
        <v>411100</v>
      </c>
      <c r="D412" s="350" t="s">
        <v>299</v>
      </c>
      <c r="E412" s="340">
        <v>4488000</v>
      </c>
      <c r="F412" s="328">
        <v>4530000</v>
      </c>
      <c r="G412" s="328">
        <f t="shared" si="34"/>
        <v>100.93582887700533</v>
      </c>
      <c r="H412" s="329">
        <f t="shared" si="35"/>
        <v>14.867082376107646</v>
      </c>
      <c r="I412" s="349"/>
      <c r="J412" s="340">
        <v>4488000</v>
      </c>
      <c r="K412" s="459">
        <v>311600</v>
      </c>
    </row>
    <row r="413" spans="1:11" ht="38.25">
      <c r="A413" s="240" t="s">
        <v>539</v>
      </c>
      <c r="B413" s="219"/>
      <c r="C413" s="466">
        <v>411200</v>
      </c>
      <c r="D413" s="351" t="s">
        <v>572</v>
      </c>
      <c r="E413" s="340">
        <v>107000</v>
      </c>
      <c r="F413" s="328">
        <v>101000</v>
      </c>
      <c r="G413" s="328">
        <f t="shared" si="34"/>
        <v>94.39252336448598</v>
      </c>
      <c r="H413" s="329">
        <f t="shared" si="35"/>
        <v>0.33147358057105347</v>
      </c>
      <c r="I413" s="349"/>
      <c r="J413" s="340">
        <v>107000</v>
      </c>
      <c r="K413" s="459">
        <v>8400</v>
      </c>
    </row>
    <row r="414" spans="1:11" ht="25.5">
      <c r="A414" s="240" t="s">
        <v>539</v>
      </c>
      <c r="B414" s="219"/>
      <c r="C414" s="466">
        <v>411300</v>
      </c>
      <c r="D414" s="351" t="s">
        <v>380</v>
      </c>
      <c r="E414" s="340">
        <v>12000</v>
      </c>
      <c r="F414" s="328">
        <v>12000</v>
      </c>
      <c r="G414" s="328">
        <f t="shared" si="34"/>
        <v>100</v>
      </c>
      <c r="H414" s="329">
        <f t="shared" si="35"/>
        <v>0.03938299967180833</v>
      </c>
      <c r="I414" s="349"/>
      <c r="J414" s="340">
        <v>12000</v>
      </c>
      <c r="K414" s="459"/>
    </row>
    <row r="415" spans="1:11" ht="12.75">
      <c r="A415" s="240" t="s">
        <v>539</v>
      </c>
      <c r="B415" s="219"/>
      <c r="C415" s="466">
        <v>411400</v>
      </c>
      <c r="D415" s="350" t="s">
        <v>300</v>
      </c>
      <c r="E415" s="340">
        <v>44500</v>
      </c>
      <c r="F415" s="328">
        <v>43300</v>
      </c>
      <c r="G415" s="328">
        <f t="shared" si="34"/>
        <v>97.30337078651685</v>
      </c>
      <c r="H415" s="329">
        <f t="shared" si="35"/>
        <v>0.14210699048244174</v>
      </c>
      <c r="I415" s="349"/>
      <c r="J415" s="340">
        <v>44500</v>
      </c>
      <c r="K415" s="459"/>
    </row>
    <row r="416" spans="1:11" ht="12.75">
      <c r="A416" s="240"/>
      <c r="B416" s="331" t="s">
        <v>334</v>
      </c>
      <c r="C416" s="332"/>
      <c r="D416" s="352" t="s">
        <v>117</v>
      </c>
      <c r="E416" s="384">
        <f>SUM(E417:E424)</f>
        <v>908100</v>
      </c>
      <c r="F416" s="335">
        <f>SUM(F417:F424)</f>
        <v>1093700</v>
      </c>
      <c r="G416" s="335">
        <f t="shared" si="34"/>
        <v>120.43827772271776</v>
      </c>
      <c r="H416" s="336">
        <f t="shared" si="35"/>
        <v>3.5894322284213978</v>
      </c>
      <c r="I416" s="349"/>
      <c r="J416" s="384">
        <f>SUM(J417:J424)</f>
        <v>908100</v>
      </c>
      <c r="K416" s="460">
        <f>SUM(K417:K424)</f>
        <v>40000</v>
      </c>
    </row>
    <row r="417" spans="1:11" ht="12.75">
      <c r="A417" s="240" t="s">
        <v>539</v>
      </c>
      <c r="B417" s="219"/>
      <c r="C417" s="466">
        <v>412100</v>
      </c>
      <c r="D417" s="350" t="s">
        <v>453</v>
      </c>
      <c r="E417" s="340">
        <v>2010</v>
      </c>
      <c r="F417" s="328">
        <v>4700</v>
      </c>
      <c r="G417" s="328">
        <f t="shared" si="34"/>
        <v>233.83084577114425</v>
      </c>
      <c r="H417" s="329">
        <f t="shared" si="35"/>
        <v>0.015425008204791599</v>
      </c>
      <c r="I417" s="349"/>
      <c r="J417" s="340">
        <v>2010</v>
      </c>
      <c r="K417" s="459"/>
    </row>
    <row r="418" spans="1:11" ht="38.25">
      <c r="A418" s="240" t="s">
        <v>539</v>
      </c>
      <c r="B418" s="219"/>
      <c r="C418" s="466">
        <v>412200</v>
      </c>
      <c r="D418" s="351" t="s">
        <v>573</v>
      </c>
      <c r="E418" s="340">
        <v>531490</v>
      </c>
      <c r="F418" s="328">
        <v>562000</v>
      </c>
      <c r="G418" s="328">
        <f t="shared" si="34"/>
        <v>105.74046548382847</v>
      </c>
      <c r="H418" s="329">
        <f t="shared" si="35"/>
        <v>1.844437151296357</v>
      </c>
      <c r="I418" s="432"/>
      <c r="J418" s="340">
        <v>531490</v>
      </c>
      <c r="K418" s="459"/>
    </row>
    <row r="419" spans="1:11" ht="12.75">
      <c r="A419" s="240" t="s">
        <v>539</v>
      </c>
      <c r="B419" s="219"/>
      <c r="C419" s="466">
        <v>412300</v>
      </c>
      <c r="D419" s="351" t="s">
        <v>120</v>
      </c>
      <c r="E419" s="340">
        <v>1000</v>
      </c>
      <c r="F419" s="328">
        <v>1000</v>
      </c>
      <c r="G419" s="328">
        <f t="shared" si="34"/>
        <v>100</v>
      </c>
      <c r="H419" s="329">
        <f t="shared" si="35"/>
        <v>0.0032819166393173614</v>
      </c>
      <c r="I419" s="349"/>
      <c r="J419" s="340">
        <v>1000</v>
      </c>
      <c r="K419" s="459"/>
    </row>
    <row r="420" spans="1:11" ht="12.75">
      <c r="A420" s="240" t="s">
        <v>539</v>
      </c>
      <c r="B420" s="219"/>
      <c r="C420" s="466">
        <v>412500</v>
      </c>
      <c r="D420" s="350" t="s">
        <v>574</v>
      </c>
      <c r="E420" s="340">
        <v>50000</v>
      </c>
      <c r="F420" s="328">
        <v>61000</v>
      </c>
      <c r="G420" s="328">
        <f t="shared" si="34"/>
        <v>122</v>
      </c>
      <c r="H420" s="329">
        <f t="shared" si="35"/>
        <v>0.20019691499835904</v>
      </c>
      <c r="I420" s="349"/>
      <c r="J420" s="340">
        <v>50000</v>
      </c>
      <c r="K420" s="459"/>
    </row>
    <row r="421" spans="1:11" ht="12.75">
      <c r="A421" s="240" t="s">
        <v>539</v>
      </c>
      <c r="B421" s="219"/>
      <c r="C421" s="466">
        <v>412600</v>
      </c>
      <c r="D421" s="350" t="s">
        <v>123</v>
      </c>
      <c r="E421" s="340">
        <v>3000</v>
      </c>
      <c r="F421" s="328">
        <v>4000</v>
      </c>
      <c r="G421" s="328">
        <f t="shared" si="34"/>
        <v>133.33333333333331</v>
      </c>
      <c r="H421" s="329">
        <f t="shared" si="35"/>
        <v>0.013127666557269446</v>
      </c>
      <c r="I421" s="349"/>
      <c r="J421" s="340">
        <v>3000</v>
      </c>
      <c r="K421" s="459"/>
    </row>
    <row r="422" spans="1:11" ht="12.75">
      <c r="A422" s="240" t="s">
        <v>539</v>
      </c>
      <c r="B422" s="219"/>
      <c r="C422" s="466">
        <v>412700</v>
      </c>
      <c r="D422" s="350" t="s">
        <v>124</v>
      </c>
      <c r="E422" s="340">
        <v>102600</v>
      </c>
      <c r="F422" s="328">
        <v>146000</v>
      </c>
      <c r="G422" s="328">
        <f t="shared" si="34"/>
        <v>142.3001949317739</v>
      </c>
      <c r="H422" s="329">
        <f t="shared" si="35"/>
        <v>0.4791598293403348</v>
      </c>
      <c r="I422" s="349"/>
      <c r="J422" s="340">
        <v>102600</v>
      </c>
      <c r="K422" s="459">
        <v>40000</v>
      </c>
    </row>
    <row r="423" spans="1:11" ht="12.75">
      <c r="A423" s="240" t="s">
        <v>539</v>
      </c>
      <c r="B423" s="219"/>
      <c r="C423" s="466">
        <v>412900</v>
      </c>
      <c r="D423" s="350" t="s">
        <v>454</v>
      </c>
      <c r="E423" s="340">
        <v>190000</v>
      </c>
      <c r="F423" s="328">
        <v>288000</v>
      </c>
      <c r="G423" s="328">
        <f t="shared" si="34"/>
        <v>151.57894736842107</v>
      </c>
      <c r="H423" s="329">
        <f t="shared" si="35"/>
        <v>0.9451919921234</v>
      </c>
      <c r="I423" s="349"/>
      <c r="J423" s="340">
        <v>190000</v>
      </c>
      <c r="K423" s="459"/>
    </row>
    <row r="424" spans="1:11" ht="15" customHeight="1">
      <c r="A424" s="240" t="s">
        <v>539</v>
      </c>
      <c r="B424" s="219"/>
      <c r="C424" s="466">
        <v>412900</v>
      </c>
      <c r="D424" s="351" t="s">
        <v>626</v>
      </c>
      <c r="E424" s="340">
        <v>28000</v>
      </c>
      <c r="F424" s="328">
        <v>27000</v>
      </c>
      <c r="G424" s="328">
        <f t="shared" si="34"/>
        <v>96.42857142857143</v>
      </c>
      <c r="H424" s="329">
        <f t="shared" si="35"/>
        <v>0.08861174926156876</v>
      </c>
      <c r="I424" s="349"/>
      <c r="J424" s="340">
        <v>28000</v>
      </c>
      <c r="K424" s="459"/>
    </row>
    <row r="425" spans="1:11" ht="12.75" customHeight="1" hidden="1">
      <c r="A425" s="240"/>
      <c r="B425" s="219" t="s">
        <v>455</v>
      </c>
      <c r="C425" s="157"/>
      <c r="D425" s="348" t="s">
        <v>127</v>
      </c>
      <c r="E425" s="334">
        <f>SUM(E426)</f>
        <v>0</v>
      </c>
      <c r="F425" s="442">
        <f>SUM(F426)</f>
        <v>0</v>
      </c>
      <c r="G425" s="335">
        <f t="shared" si="34"/>
        <v>0</v>
      </c>
      <c r="H425" s="336">
        <f t="shared" si="35"/>
        <v>0</v>
      </c>
      <c r="I425" s="349"/>
      <c r="J425" s="334">
        <f>SUM(J426)</f>
        <v>0</v>
      </c>
      <c r="K425" s="461">
        <f>SUM(K426)</f>
        <v>0</v>
      </c>
    </row>
    <row r="426" spans="1:11" ht="22.5" customHeight="1" hidden="1">
      <c r="A426" s="240" t="s">
        <v>474</v>
      </c>
      <c r="B426" s="219"/>
      <c r="C426" s="157">
        <v>413300</v>
      </c>
      <c r="D426" s="157" t="s">
        <v>461</v>
      </c>
      <c r="E426" s="340">
        <v>0</v>
      </c>
      <c r="F426" s="328">
        <v>0</v>
      </c>
      <c r="G426" s="335">
        <f t="shared" si="34"/>
        <v>0</v>
      </c>
      <c r="H426" s="336">
        <f t="shared" si="35"/>
        <v>0</v>
      </c>
      <c r="I426" s="349"/>
      <c r="J426" s="340">
        <v>0</v>
      </c>
      <c r="K426" s="459">
        <v>0</v>
      </c>
    </row>
    <row r="427" spans="1:11" ht="14.25" customHeight="1">
      <c r="A427" s="240"/>
      <c r="B427" s="237" t="s">
        <v>456</v>
      </c>
      <c r="C427" s="157"/>
      <c r="D427" s="260" t="s">
        <v>617</v>
      </c>
      <c r="E427" s="384">
        <f>SUM(E428:E428)</f>
        <v>6000</v>
      </c>
      <c r="F427" s="335">
        <f>SUM(F428:F428)</f>
        <v>6000</v>
      </c>
      <c r="G427" s="335">
        <f t="shared" si="34"/>
        <v>100</v>
      </c>
      <c r="H427" s="336">
        <f t="shared" si="35"/>
        <v>0.019691499835904167</v>
      </c>
      <c r="I427" s="349"/>
      <c r="J427" s="384">
        <f>SUM(J428:J428)</f>
        <v>6000</v>
      </c>
      <c r="K427" s="460">
        <f>SUM(K428:K428)</f>
        <v>0</v>
      </c>
    </row>
    <row r="428" spans="1:11" ht="23.25" customHeight="1">
      <c r="A428" s="240" t="s">
        <v>539</v>
      </c>
      <c r="B428" s="219"/>
      <c r="C428" s="309">
        <v>418200</v>
      </c>
      <c r="D428" s="351" t="s">
        <v>575</v>
      </c>
      <c r="E428" s="340">
        <v>6000</v>
      </c>
      <c r="F428" s="328">
        <v>6000</v>
      </c>
      <c r="G428" s="328">
        <f t="shared" si="34"/>
        <v>100</v>
      </c>
      <c r="H428" s="329">
        <f t="shared" si="35"/>
        <v>0.019691499835904167</v>
      </c>
      <c r="I428" s="349"/>
      <c r="J428" s="340">
        <v>6000</v>
      </c>
      <c r="K428" s="459"/>
    </row>
    <row r="429" spans="1:11" ht="15" customHeight="1" hidden="1">
      <c r="A429" s="240"/>
      <c r="B429" s="219" t="s">
        <v>343</v>
      </c>
      <c r="C429" s="157"/>
      <c r="D429" s="260" t="s">
        <v>287</v>
      </c>
      <c r="E429" s="334">
        <f>SUM(E430)</f>
        <v>0</v>
      </c>
      <c r="F429" s="442">
        <f>SUM(F430)</f>
        <v>0</v>
      </c>
      <c r="G429" s="335">
        <f t="shared" si="34"/>
        <v>0</v>
      </c>
      <c r="H429" s="336">
        <f t="shared" si="35"/>
        <v>0</v>
      </c>
      <c r="I429" s="349"/>
      <c r="J429" s="334">
        <f>SUM(J430)</f>
        <v>0</v>
      </c>
      <c r="K429" s="461">
        <f>SUM(K430)</f>
        <v>0</v>
      </c>
    </row>
    <row r="430" spans="1:11" ht="15.75" customHeight="1" hidden="1">
      <c r="A430" s="240" t="s">
        <v>474</v>
      </c>
      <c r="B430" s="219"/>
      <c r="C430" s="157">
        <v>419100</v>
      </c>
      <c r="D430" s="351" t="s">
        <v>287</v>
      </c>
      <c r="E430" s="340">
        <v>0</v>
      </c>
      <c r="F430" s="328">
        <v>0</v>
      </c>
      <c r="G430" s="335">
        <f t="shared" si="34"/>
        <v>0</v>
      </c>
      <c r="H430" s="336">
        <f t="shared" si="35"/>
        <v>0</v>
      </c>
      <c r="I430" s="349"/>
      <c r="J430" s="340">
        <v>0</v>
      </c>
      <c r="K430" s="459">
        <v>0</v>
      </c>
    </row>
    <row r="431" spans="1:11" ht="12.75" customHeight="1">
      <c r="A431" s="240"/>
      <c r="B431" s="331" t="s">
        <v>462</v>
      </c>
      <c r="C431" s="157"/>
      <c r="D431" s="353" t="s">
        <v>457</v>
      </c>
      <c r="E431" s="384">
        <f>SUM(E432:E433)</f>
        <v>130000</v>
      </c>
      <c r="F431" s="335">
        <f>SUM(F432:F433)</f>
        <v>50000</v>
      </c>
      <c r="G431" s="335">
        <f t="shared" si="34"/>
        <v>38.46153846153847</v>
      </c>
      <c r="H431" s="336">
        <f t="shared" si="35"/>
        <v>0.16409583196586808</v>
      </c>
      <c r="I431" s="349"/>
      <c r="J431" s="384">
        <f>SUM(J432:J433)</f>
        <v>30000</v>
      </c>
      <c r="K431" s="460">
        <f>SUM(K432:K433)</f>
        <v>30000</v>
      </c>
    </row>
    <row r="432" spans="1:11" ht="25.5" customHeight="1">
      <c r="A432" s="240" t="s">
        <v>539</v>
      </c>
      <c r="B432" s="219"/>
      <c r="C432" s="309">
        <v>511200</v>
      </c>
      <c r="D432" s="351" t="s">
        <v>135</v>
      </c>
      <c r="E432" s="340">
        <v>15000</v>
      </c>
      <c r="F432" s="328">
        <v>0</v>
      </c>
      <c r="G432" s="328">
        <f t="shared" si="34"/>
        <v>0</v>
      </c>
      <c r="H432" s="329">
        <f t="shared" si="35"/>
        <v>0</v>
      </c>
      <c r="I432" s="349"/>
      <c r="J432" s="340">
        <v>15000</v>
      </c>
      <c r="K432" s="459"/>
    </row>
    <row r="433" spans="1:11" ht="12" customHeight="1">
      <c r="A433" s="240" t="s">
        <v>539</v>
      </c>
      <c r="B433" s="219"/>
      <c r="C433" s="309">
        <v>511300</v>
      </c>
      <c r="D433" s="351" t="s">
        <v>136</v>
      </c>
      <c r="E433" s="340">
        <v>115000</v>
      </c>
      <c r="F433" s="328">
        <v>50000</v>
      </c>
      <c r="G433" s="328">
        <f t="shared" si="34"/>
        <v>43.47826086956522</v>
      </c>
      <c r="H433" s="329">
        <f t="shared" si="35"/>
        <v>0.16409583196586808</v>
      </c>
      <c r="I433" s="349"/>
      <c r="J433" s="340">
        <v>15000</v>
      </c>
      <c r="K433" s="459">
        <v>30000</v>
      </c>
    </row>
    <row r="434" spans="1:11" ht="6" customHeight="1" hidden="1">
      <c r="A434" s="240"/>
      <c r="B434" s="331" t="s">
        <v>344</v>
      </c>
      <c r="C434" s="220"/>
      <c r="D434" s="353" t="s">
        <v>159</v>
      </c>
      <c r="E434" s="334">
        <f>SUM(E435)</f>
        <v>0</v>
      </c>
      <c r="F434" s="442">
        <f>SUM(F435)</f>
        <v>0</v>
      </c>
      <c r="G434" s="335">
        <f t="shared" si="34"/>
        <v>0</v>
      </c>
      <c r="H434" s="336">
        <f t="shared" si="35"/>
        <v>0</v>
      </c>
      <c r="I434" s="349"/>
      <c r="J434" s="334">
        <f>SUM(J435)</f>
        <v>0</v>
      </c>
      <c r="K434" s="461">
        <f>SUM(K435)</f>
        <v>0</v>
      </c>
    </row>
    <row r="435" spans="1:11" ht="9.75" customHeight="1" hidden="1">
      <c r="A435" s="240" t="s">
        <v>474</v>
      </c>
      <c r="B435" s="219"/>
      <c r="C435" s="220">
        <v>513700</v>
      </c>
      <c r="D435" s="351" t="s">
        <v>464</v>
      </c>
      <c r="E435" s="340">
        <v>0</v>
      </c>
      <c r="F435" s="328">
        <v>0</v>
      </c>
      <c r="G435" s="335">
        <f t="shared" si="34"/>
        <v>0</v>
      </c>
      <c r="H435" s="336">
        <f t="shared" si="35"/>
        <v>0</v>
      </c>
      <c r="I435" s="349"/>
      <c r="J435" s="340">
        <v>0</v>
      </c>
      <c r="K435" s="459">
        <v>0</v>
      </c>
    </row>
    <row r="436" spans="1:11" ht="27.75" customHeight="1">
      <c r="A436" s="240"/>
      <c r="B436" s="331" t="s">
        <v>465</v>
      </c>
      <c r="C436" s="434"/>
      <c r="D436" s="353" t="s">
        <v>458</v>
      </c>
      <c r="E436" s="467">
        <f>SUM(E437:E438)</f>
        <v>329500</v>
      </c>
      <c r="F436" s="409">
        <f>SUM(F437:F438)</f>
        <v>377000</v>
      </c>
      <c r="G436" s="335">
        <f t="shared" si="34"/>
        <v>114.41578148710167</v>
      </c>
      <c r="H436" s="336">
        <f t="shared" si="35"/>
        <v>1.2372825730226453</v>
      </c>
      <c r="I436" s="349"/>
      <c r="J436" s="334">
        <f>SUM(J437:J438)</f>
        <v>329500</v>
      </c>
      <c r="K436" s="461">
        <f>SUM(K437:K438)</f>
        <v>0</v>
      </c>
    </row>
    <row r="437" spans="1:11" ht="12.75" customHeight="1">
      <c r="A437" s="240" t="s">
        <v>539</v>
      </c>
      <c r="B437" s="219"/>
      <c r="C437" s="309">
        <v>516100</v>
      </c>
      <c r="D437" s="351" t="s">
        <v>274</v>
      </c>
      <c r="E437" s="340">
        <v>329500</v>
      </c>
      <c r="F437" s="328">
        <v>377000</v>
      </c>
      <c r="G437" s="328">
        <f t="shared" si="34"/>
        <v>114.41578148710167</v>
      </c>
      <c r="H437" s="329">
        <f t="shared" si="35"/>
        <v>1.2372825730226453</v>
      </c>
      <c r="I437" s="349"/>
      <c r="J437" s="340">
        <v>329500</v>
      </c>
      <c r="K437" s="459">
        <v>0</v>
      </c>
    </row>
    <row r="438" spans="1:11" ht="15.75" customHeight="1" hidden="1">
      <c r="A438" s="240" t="s">
        <v>474</v>
      </c>
      <c r="B438" s="219"/>
      <c r="C438" s="220">
        <v>516100</v>
      </c>
      <c r="D438" s="351" t="s">
        <v>466</v>
      </c>
      <c r="E438" s="340">
        <v>0</v>
      </c>
      <c r="F438" s="328">
        <v>0</v>
      </c>
      <c r="G438" s="328">
        <f t="shared" si="34"/>
        <v>0</v>
      </c>
      <c r="H438" s="329">
        <f t="shared" si="35"/>
        <v>0</v>
      </c>
      <c r="I438" s="349"/>
      <c r="J438" s="340">
        <v>0</v>
      </c>
      <c r="K438" s="459">
        <v>0</v>
      </c>
    </row>
    <row r="439" spans="1:11" ht="21" customHeight="1" hidden="1">
      <c r="A439" s="240"/>
      <c r="B439" s="331" t="s">
        <v>459</v>
      </c>
      <c r="C439" s="220"/>
      <c r="D439" s="353" t="s">
        <v>242</v>
      </c>
      <c r="E439" s="334">
        <f>SUM(E440)</f>
        <v>0</v>
      </c>
      <c r="F439" s="442">
        <f>SUM(F440)</f>
        <v>0</v>
      </c>
      <c r="G439" s="335">
        <f t="shared" si="34"/>
        <v>0</v>
      </c>
      <c r="H439" s="336">
        <f t="shared" si="35"/>
        <v>0</v>
      </c>
      <c r="I439" s="349"/>
      <c r="J439" s="334">
        <f>SUM(J440)</f>
        <v>0</v>
      </c>
      <c r="K439" s="461">
        <f>SUM(K440)</f>
        <v>0</v>
      </c>
    </row>
    <row r="440" spans="1:11" ht="12.75" customHeight="1" hidden="1">
      <c r="A440" s="240"/>
      <c r="B440" s="219"/>
      <c r="C440" s="220">
        <v>611000</v>
      </c>
      <c r="D440" s="351" t="s">
        <v>242</v>
      </c>
      <c r="E440" s="340">
        <v>0</v>
      </c>
      <c r="F440" s="328">
        <v>0</v>
      </c>
      <c r="G440" s="335">
        <f t="shared" si="34"/>
        <v>0</v>
      </c>
      <c r="H440" s="336">
        <f t="shared" si="35"/>
        <v>0</v>
      </c>
      <c r="I440" s="349"/>
      <c r="J440" s="340">
        <v>0</v>
      </c>
      <c r="K440" s="459">
        <v>0</v>
      </c>
    </row>
    <row r="441" spans="1:11" ht="11.25" customHeight="1" hidden="1">
      <c r="A441" s="240"/>
      <c r="B441" s="354" t="s">
        <v>467</v>
      </c>
      <c r="C441" s="463"/>
      <c r="D441" s="353" t="s">
        <v>137</v>
      </c>
      <c r="E441" s="334">
        <f>SUM(E442:E443)</f>
        <v>0</v>
      </c>
      <c r="F441" s="442">
        <f>SUM(F442:F443)</f>
        <v>0</v>
      </c>
      <c r="G441" s="335">
        <f t="shared" si="34"/>
        <v>0</v>
      </c>
      <c r="H441" s="336">
        <f t="shared" si="35"/>
        <v>0</v>
      </c>
      <c r="I441" s="349"/>
      <c r="J441" s="334">
        <f>SUM(J442:J443)</f>
        <v>0</v>
      </c>
      <c r="K441" s="461">
        <f>SUM(K442:K443)</f>
        <v>0</v>
      </c>
    </row>
    <row r="442" spans="1:11" ht="12.75" customHeight="1" hidden="1">
      <c r="A442" s="240"/>
      <c r="B442" s="219"/>
      <c r="C442" s="220">
        <v>621300</v>
      </c>
      <c r="D442" s="351" t="s">
        <v>471</v>
      </c>
      <c r="E442" s="340">
        <v>0</v>
      </c>
      <c r="F442" s="328">
        <v>0</v>
      </c>
      <c r="G442" s="335">
        <f t="shared" si="34"/>
        <v>0</v>
      </c>
      <c r="H442" s="336">
        <f t="shared" si="35"/>
        <v>0</v>
      </c>
      <c r="I442" s="349"/>
      <c r="J442" s="340">
        <v>0</v>
      </c>
      <c r="K442" s="459">
        <v>0</v>
      </c>
    </row>
    <row r="443" spans="1:11" ht="20.25" customHeight="1" hidden="1">
      <c r="A443" s="240"/>
      <c r="B443" s="219"/>
      <c r="C443" s="220">
        <v>621900</v>
      </c>
      <c r="D443" s="351" t="s">
        <v>273</v>
      </c>
      <c r="E443" s="340">
        <v>0</v>
      </c>
      <c r="F443" s="328">
        <v>0</v>
      </c>
      <c r="G443" s="335">
        <f t="shared" si="34"/>
        <v>0</v>
      </c>
      <c r="H443" s="336">
        <f t="shared" si="35"/>
        <v>0</v>
      </c>
      <c r="I443" s="349"/>
      <c r="J443" s="340">
        <v>0</v>
      </c>
      <c r="K443" s="459">
        <v>0</v>
      </c>
    </row>
    <row r="444" spans="1:11" s="333" customFormat="1" ht="23.25" customHeight="1" hidden="1">
      <c r="A444" s="240"/>
      <c r="B444" s="237" t="s">
        <v>468</v>
      </c>
      <c r="C444" s="463"/>
      <c r="D444" s="353" t="s">
        <v>460</v>
      </c>
      <c r="E444" s="384">
        <f>E445</f>
        <v>0</v>
      </c>
      <c r="F444" s="335">
        <f>F445</f>
        <v>0</v>
      </c>
      <c r="G444" s="335">
        <f t="shared" si="34"/>
        <v>0</v>
      </c>
      <c r="H444" s="336">
        <f t="shared" si="35"/>
        <v>0</v>
      </c>
      <c r="I444" s="349"/>
      <c r="J444" s="384">
        <f>J445</f>
        <v>0</v>
      </c>
      <c r="K444" s="460">
        <f>K445</f>
        <v>0</v>
      </c>
    </row>
    <row r="445" spans="1:11" s="333" customFormat="1" ht="19.5" customHeight="1" hidden="1">
      <c r="A445" s="240"/>
      <c r="B445" s="219"/>
      <c r="C445" s="220">
        <v>628100</v>
      </c>
      <c r="D445" s="351" t="s">
        <v>472</v>
      </c>
      <c r="E445" s="340">
        <v>0</v>
      </c>
      <c r="F445" s="328">
        <v>0</v>
      </c>
      <c r="G445" s="328">
        <f t="shared" si="34"/>
        <v>0</v>
      </c>
      <c r="H445" s="329">
        <f t="shared" si="35"/>
        <v>0</v>
      </c>
      <c r="I445" s="349"/>
      <c r="J445" s="340"/>
      <c r="K445" s="459"/>
    </row>
    <row r="446" spans="1:11" ht="13.5">
      <c r="A446" s="240"/>
      <c r="B446" s="237" t="s">
        <v>469</v>
      </c>
      <c r="C446" s="463"/>
      <c r="D446" s="353" t="s">
        <v>296</v>
      </c>
      <c r="E446" s="384">
        <f>SUM(E447:E447)</f>
        <v>35000</v>
      </c>
      <c r="F446" s="335">
        <f>SUM(F447:F447)</f>
        <v>44000</v>
      </c>
      <c r="G446" s="335">
        <f t="shared" si="34"/>
        <v>125.71428571428571</v>
      </c>
      <c r="H446" s="336">
        <f t="shared" si="35"/>
        <v>0.1444043321299639</v>
      </c>
      <c r="I446" s="349"/>
      <c r="J446" s="384">
        <f>SUM(J447:J447)</f>
        <v>35000</v>
      </c>
      <c r="K446" s="460">
        <f>SUM(K447:K447)</f>
        <v>0</v>
      </c>
    </row>
    <row r="447" spans="1:11" ht="12.75">
      <c r="A447" s="240"/>
      <c r="B447" s="219"/>
      <c r="C447" s="309">
        <v>631100</v>
      </c>
      <c r="D447" s="351" t="s">
        <v>473</v>
      </c>
      <c r="E447" s="340">
        <v>35000</v>
      </c>
      <c r="F447" s="328">
        <v>44000</v>
      </c>
      <c r="G447" s="328">
        <f t="shared" si="34"/>
        <v>125.71428571428571</v>
      </c>
      <c r="H447" s="329">
        <f t="shared" si="35"/>
        <v>0.1444043321299639</v>
      </c>
      <c r="I447" s="349"/>
      <c r="J447" s="340">
        <v>35000</v>
      </c>
      <c r="K447" s="459"/>
    </row>
    <row r="448" spans="1:11" ht="25.5">
      <c r="A448" s="240"/>
      <c r="B448" s="237" t="s">
        <v>470</v>
      </c>
      <c r="C448" s="463"/>
      <c r="D448" s="353" t="s">
        <v>627</v>
      </c>
      <c r="E448" s="384">
        <f>SUM(E449)</f>
        <v>60000</v>
      </c>
      <c r="F448" s="335">
        <f>SUM(F449)</f>
        <v>140000</v>
      </c>
      <c r="G448" s="335">
        <f t="shared" si="34"/>
        <v>233.33333333333334</v>
      </c>
      <c r="H448" s="336">
        <f t="shared" si="35"/>
        <v>0.4594683295044306</v>
      </c>
      <c r="I448" s="349"/>
      <c r="J448" s="384">
        <f>SUM(J449)</f>
        <v>60000</v>
      </c>
      <c r="K448" s="460">
        <f>SUM(K449)</f>
        <v>0</v>
      </c>
    </row>
    <row r="449" spans="1:11" ht="26.25" customHeight="1">
      <c r="A449" s="240"/>
      <c r="B449" s="219"/>
      <c r="C449" s="466">
        <v>638100</v>
      </c>
      <c r="D449" s="351" t="s">
        <v>302</v>
      </c>
      <c r="E449" s="340">
        <v>60000</v>
      </c>
      <c r="F449" s="328">
        <v>140000</v>
      </c>
      <c r="G449" s="328">
        <f t="shared" si="34"/>
        <v>233.33333333333334</v>
      </c>
      <c r="H449" s="329">
        <f t="shared" si="35"/>
        <v>0.4594683295044306</v>
      </c>
      <c r="I449" s="349"/>
      <c r="J449" s="340">
        <v>60000</v>
      </c>
      <c r="K449" s="459"/>
    </row>
    <row r="450" spans="1:11" ht="23.25" customHeight="1">
      <c r="A450" s="240"/>
      <c r="B450" s="219"/>
      <c r="C450" s="524" t="s">
        <v>452</v>
      </c>
      <c r="D450" s="525"/>
      <c r="E450" s="337">
        <f>E411+E416+E425+E427+E429+E431+E434+E436+E439+E441+E444+E446+E448</f>
        <v>6120100</v>
      </c>
      <c r="F450" s="338">
        <f>F411+F416+F425+F427+F429+F431+F434+F436+F439+F441+F444+F446+F448</f>
        <v>6397000</v>
      </c>
      <c r="G450" s="338">
        <f t="shared" si="34"/>
        <v>104.5244358752308</v>
      </c>
      <c r="H450" s="339">
        <f t="shared" si="35"/>
        <v>20.99442074171316</v>
      </c>
      <c r="I450" s="349"/>
      <c r="J450" s="337">
        <f>J411+J416+J425+J427+J429+J431+J434+J436+J439+J441+J444+J446+J448</f>
        <v>6020100</v>
      </c>
      <c r="K450" s="360">
        <f>K411+K416+K425+K427+K429+K431+K434+K436+K439+K441+K444+K446+K448</f>
        <v>390000</v>
      </c>
    </row>
    <row r="451" spans="1:11" ht="9.75" customHeight="1">
      <c r="A451" s="522"/>
      <c r="B451" s="523"/>
      <c r="C451" s="526" t="s">
        <v>507</v>
      </c>
      <c r="D451" s="527"/>
      <c r="E451" s="149"/>
      <c r="F451" s="149"/>
      <c r="G451" s="149"/>
      <c r="H451" s="150"/>
      <c r="I451" s="6"/>
      <c r="J451" s="149"/>
      <c r="K451" s="149"/>
    </row>
    <row r="452" spans="1:11" ht="9.75" customHeight="1">
      <c r="A452" s="522"/>
      <c r="B452" s="523"/>
      <c r="C452" s="527"/>
      <c r="D452" s="527"/>
      <c r="E452" s="151"/>
      <c r="F452" s="151"/>
      <c r="G452" s="151"/>
      <c r="H452" s="152"/>
      <c r="I452" s="6"/>
      <c r="J452" s="151"/>
      <c r="K452" s="151"/>
    </row>
    <row r="453" spans="1:11" ht="23.25" customHeight="1">
      <c r="A453" s="522"/>
      <c r="B453" s="523"/>
      <c r="C453" s="527"/>
      <c r="D453" s="527"/>
      <c r="E453" s="153"/>
      <c r="F453" s="153"/>
      <c r="G453" s="153"/>
      <c r="H453" s="154"/>
      <c r="I453" s="6"/>
      <c r="J453" s="153"/>
      <c r="K453" s="153"/>
    </row>
    <row r="454" spans="1:11" ht="14.25" customHeight="1">
      <c r="A454" s="120"/>
      <c r="B454" s="47">
        <v>411000</v>
      </c>
      <c r="C454" s="42"/>
      <c r="D454" s="72" t="s">
        <v>303</v>
      </c>
      <c r="E454" s="136">
        <f>SUM(E455)</f>
        <v>22000</v>
      </c>
      <c r="F454" s="136">
        <f>SUM(F455)</f>
        <v>23500</v>
      </c>
      <c r="G454" s="136">
        <f aca="true" t="shared" si="36" ref="G454:G469">IF(E454&gt;0,F454/E454*100,0)</f>
        <v>106.81818181818181</v>
      </c>
      <c r="H454" s="172">
        <f aca="true" t="shared" si="37" ref="H454:H469">F454/$F$587*100</f>
        <v>0.077125041023958</v>
      </c>
      <c r="I454" s="6"/>
      <c r="J454" s="174">
        <f>SUM(J455)</f>
        <v>20700</v>
      </c>
      <c r="K454" s="174">
        <f>SUM(K455)</f>
        <v>2800</v>
      </c>
    </row>
    <row r="455" spans="1:11" ht="24.75" customHeight="1">
      <c r="A455" s="120" t="s">
        <v>26</v>
      </c>
      <c r="B455" s="123"/>
      <c r="C455" s="60">
        <v>411200</v>
      </c>
      <c r="D455" s="66" t="s">
        <v>304</v>
      </c>
      <c r="E455" s="143">
        <v>22000</v>
      </c>
      <c r="F455" s="143">
        <v>23500</v>
      </c>
      <c r="G455" s="139">
        <f t="shared" si="36"/>
        <v>106.81818181818181</v>
      </c>
      <c r="H455" s="382">
        <f t="shared" si="37"/>
        <v>0.077125041023958</v>
      </c>
      <c r="I455" s="6"/>
      <c r="J455" s="143">
        <v>20700</v>
      </c>
      <c r="K455" s="143">
        <v>2800</v>
      </c>
    </row>
    <row r="456" spans="1:11" ht="14.25" customHeight="1">
      <c r="A456" s="120"/>
      <c r="B456" s="47">
        <v>412000</v>
      </c>
      <c r="C456" s="60"/>
      <c r="D456" s="72" t="s">
        <v>117</v>
      </c>
      <c r="E456" s="174">
        <f>SUM(E457:E464)</f>
        <v>79700</v>
      </c>
      <c r="F456" s="136">
        <f>SUM(F457:F464)</f>
        <v>79200</v>
      </c>
      <c r="G456" s="136">
        <f t="shared" si="36"/>
        <v>99.37264742785446</v>
      </c>
      <c r="H456" s="172">
        <f t="shared" si="37"/>
        <v>0.259927797833935</v>
      </c>
      <c r="I456" s="6"/>
      <c r="J456" s="174">
        <f>SUM(J457:J464)</f>
        <v>81200</v>
      </c>
      <c r="K456" s="174">
        <f>SUM(K457:K464)</f>
        <v>0</v>
      </c>
    </row>
    <row r="457" spans="1:11" ht="24.75" customHeight="1">
      <c r="A457" s="120" t="s">
        <v>26</v>
      </c>
      <c r="B457" s="47"/>
      <c r="C457" s="60">
        <v>412200</v>
      </c>
      <c r="D457" s="82" t="s">
        <v>119</v>
      </c>
      <c r="E457" s="145">
        <v>58000</v>
      </c>
      <c r="F457" s="145">
        <v>57000</v>
      </c>
      <c r="G457" s="139">
        <f t="shared" si="36"/>
        <v>98.27586206896551</v>
      </c>
      <c r="H457" s="382">
        <f t="shared" si="37"/>
        <v>0.1870692484410896</v>
      </c>
      <c r="I457" s="6"/>
      <c r="J457" s="145">
        <v>58000</v>
      </c>
      <c r="K457" s="145"/>
    </row>
    <row r="458" spans="1:11" ht="12.75">
      <c r="A458" s="120" t="s">
        <v>26</v>
      </c>
      <c r="B458" s="47"/>
      <c r="C458" s="60">
        <v>412300</v>
      </c>
      <c r="D458" s="123" t="s">
        <v>120</v>
      </c>
      <c r="E458" s="143">
        <v>4000</v>
      </c>
      <c r="F458" s="143">
        <v>4000</v>
      </c>
      <c r="G458" s="139">
        <f t="shared" si="36"/>
        <v>100</v>
      </c>
      <c r="H458" s="382">
        <f t="shared" si="37"/>
        <v>0.013127666557269446</v>
      </c>
      <c r="I458" s="6"/>
      <c r="J458" s="143">
        <v>4000</v>
      </c>
      <c r="K458" s="143"/>
    </row>
    <row r="459" spans="1:11" ht="12.75">
      <c r="A459" s="120" t="s">
        <v>26</v>
      </c>
      <c r="B459" s="47"/>
      <c r="C459" s="60">
        <v>412400</v>
      </c>
      <c r="D459" s="82" t="s">
        <v>121</v>
      </c>
      <c r="E459" s="143">
        <v>4000</v>
      </c>
      <c r="F459" s="143">
        <v>4000</v>
      </c>
      <c r="G459" s="139">
        <f t="shared" si="36"/>
        <v>100</v>
      </c>
      <c r="H459" s="382">
        <f t="shared" si="37"/>
        <v>0.013127666557269446</v>
      </c>
      <c r="I459" s="6"/>
      <c r="J459" s="143">
        <v>4000</v>
      </c>
      <c r="K459" s="143"/>
    </row>
    <row r="460" spans="1:11" ht="12.75">
      <c r="A460" s="120" t="s">
        <v>26</v>
      </c>
      <c r="B460" s="47"/>
      <c r="C460" s="60">
        <v>412500</v>
      </c>
      <c r="D460" s="123" t="s">
        <v>122</v>
      </c>
      <c r="E460" s="143">
        <v>5000</v>
      </c>
      <c r="F460" s="143">
        <v>5000</v>
      </c>
      <c r="G460" s="139">
        <f t="shared" si="36"/>
        <v>100</v>
      </c>
      <c r="H460" s="382">
        <f t="shared" si="37"/>
        <v>0.016409583196586804</v>
      </c>
      <c r="I460" s="6"/>
      <c r="J460" s="143">
        <v>5000</v>
      </c>
      <c r="K460" s="143"/>
    </row>
    <row r="461" spans="1:11" ht="12.75">
      <c r="A461" s="120" t="s">
        <v>26</v>
      </c>
      <c r="B461" s="47"/>
      <c r="C461" s="60">
        <v>412600</v>
      </c>
      <c r="D461" s="123" t="s">
        <v>123</v>
      </c>
      <c r="E461" s="143">
        <v>2000</v>
      </c>
      <c r="F461" s="143">
        <v>2000</v>
      </c>
      <c r="G461" s="139">
        <f t="shared" si="36"/>
        <v>100</v>
      </c>
      <c r="H461" s="382">
        <f t="shared" si="37"/>
        <v>0.006563833278634723</v>
      </c>
      <c r="I461" s="6"/>
      <c r="J461" s="143">
        <v>3500</v>
      </c>
      <c r="K461" s="143"/>
    </row>
    <row r="462" spans="1:11" ht="12.75">
      <c r="A462" s="120" t="s">
        <v>26</v>
      </c>
      <c r="B462" s="47"/>
      <c r="C462" s="123">
        <v>412700</v>
      </c>
      <c r="D462" s="123" t="s">
        <v>124</v>
      </c>
      <c r="E462" s="143">
        <v>3700</v>
      </c>
      <c r="F462" s="143">
        <v>4200</v>
      </c>
      <c r="G462" s="139">
        <f t="shared" si="36"/>
        <v>113.51351351351352</v>
      </c>
      <c r="H462" s="382">
        <f t="shared" si="37"/>
        <v>0.013784049885132916</v>
      </c>
      <c r="I462" s="6"/>
      <c r="J462" s="143">
        <v>3700</v>
      </c>
      <c r="K462" s="143"/>
    </row>
    <row r="463" spans="1:11" ht="15.75" customHeight="1">
      <c r="A463" s="120" t="s">
        <v>26</v>
      </c>
      <c r="B463" s="47"/>
      <c r="C463" s="123">
        <v>412900</v>
      </c>
      <c r="D463" s="123" t="s">
        <v>126</v>
      </c>
      <c r="E463" s="143">
        <v>3000</v>
      </c>
      <c r="F463" s="143">
        <v>3000</v>
      </c>
      <c r="G463" s="139">
        <f t="shared" si="36"/>
        <v>100</v>
      </c>
      <c r="H463" s="382">
        <f t="shared" si="37"/>
        <v>0.009845749917952083</v>
      </c>
      <c r="I463" s="6"/>
      <c r="J463" s="143">
        <v>3000</v>
      </c>
      <c r="K463" s="143"/>
    </row>
    <row r="464" spans="1:11" ht="11.25" customHeight="1" hidden="1">
      <c r="A464" s="120" t="s">
        <v>26</v>
      </c>
      <c r="B464" s="47"/>
      <c r="C464" s="123">
        <v>412900</v>
      </c>
      <c r="D464" s="123" t="s">
        <v>544</v>
      </c>
      <c r="E464" s="143">
        <v>0</v>
      </c>
      <c r="F464" s="143"/>
      <c r="G464" s="139">
        <f t="shared" si="36"/>
        <v>0</v>
      </c>
      <c r="H464" s="382">
        <f t="shared" si="37"/>
        <v>0</v>
      </c>
      <c r="I464" s="6"/>
      <c r="J464" s="143">
        <v>0</v>
      </c>
      <c r="K464" s="143"/>
    </row>
    <row r="465" spans="1:11" ht="11.25" customHeight="1">
      <c r="A465" s="120"/>
      <c r="B465" s="47">
        <v>511000</v>
      </c>
      <c r="C465" s="123"/>
      <c r="D465" s="134" t="s">
        <v>133</v>
      </c>
      <c r="E465" s="174">
        <f>SUM(E466:E466)</f>
        <v>2000</v>
      </c>
      <c r="F465" s="136">
        <f>SUM(F466:F466)</f>
        <v>2000</v>
      </c>
      <c r="G465" s="136">
        <f t="shared" si="36"/>
        <v>100</v>
      </c>
      <c r="H465" s="172">
        <f t="shared" si="37"/>
        <v>0.006563833278634723</v>
      </c>
      <c r="I465" s="6"/>
      <c r="J465" s="174">
        <f>SUM(J466:J466)</f>
        <v>3000</v>
      </c>
      <c r="K465" s="174">
        <f>SUM(K466:K466)</f>
        <v>0</v>
      </c>
    </row>
    <row r="466" spans="1:11" ht="12.75">
      <c r="A466" s="120" t="s">
        <v>26</v>
      </c>
      <c r="B466" s="123"/>
      <c r="C466" s="123">
        <v>511300</v>
      </c>
      <c r="D466" s="123" t="s">
        <v>2</v>
      </c>
      <c r="E466" s="143">
        <v>2000</v>
      </c>
      <c r="F466" s="143">
        <v>2000</v>
      </c>
      <c r="G466" s="139">
        <f t="shared" si="36"/>
        <v>100</v>
      </c>
      <c r="H466" s="382">
        <f t="shared" si="37"/>
        <v>0.006563833278634723</v>
      </c>
      <c r="I466" s="6"/>
      <c r="J466" s="143">
        <v>3000</v>
      </c>
      <c r="K466" s="143"/>
    </row>
    <row r="467" spans="1:11" ht="14.25" customHeight="1">
      <c r="A467" s="127"/>
      <c r="B467" s="47">
        <v>516000</v>
      </c>
      <c r="C467" s="123"/>
      <c r="D467" s="134" t="s">
        <v>274</v>
      </c>
      <c r="E467" s="174">
        <f>SUM(E468)</f>
        <v>600</v>
      </c>
      <c r="F467" s="136">
        <f>SUM(F468)</f>
        <v>600</v>
      </c>
      <c r="G467" s="136">
        <f t="shared" si="36"/>
        <v>100</v>
      </c>
      <c r="H467" s="172">
        <f t="shared" si="37"/>
        <v>0.001969149983590417</v>
      </c>
      <c r="I467" s="6"/>
      <c r="J467" s="174">
        <f>SUM(J468)</f>
        <v>600</v>
      </c>
      <c r="K467" s="174">
        <f>SUM(K468)</f>
        <v>0</v>
      </c>
    </row>
    <row r="468" spans="1:11" ht="12.75">
      <c r="A468" s="120" t="s">
        <v>26</v>
      </c>
      <c r="B468" s="123"/>
      <c r="C468" s="123">
        <v>516100</v>
      </c>
      <c r="D468" s="82" t="s">
        <v>265</v>
      </c>
      <c r="E468" s="143">
        <v>600</v>
      </c>
      <c r="F468" s="143">
        <v>600</v>
      </c>
      <c r="G468" s="139">
        <f t="shared" si="36"/>
        <v>100</v>
      </c>
      <c r="H468" s="382">
        <f t="shared" si="37"/>
        <v>0.001969149983590417</v>
      </c>
      <c r="I468" s="6"/>
      <c r="J468" s="143">
        <v>600</v>
      </c>
      <c r="K468" s="143"/>
    </row>
    <row r="469" spans="1:11" ht="24.75" customHeight="1">
      <c r="A469" s="520"/>
      <c r="B469" s="521"/>
      <c r="C469" s="524" t="s">
        <v>86</v>
      </c>
      <c r="D469" s="524"/>
      <c r="E469" s="158">
        <f>E454+E456+E465+E467</f>
        <v>104300</v>
      </c>
      <c r="F469" s="439">
        <f>F454+F456+F465+F467</f>
        <v>105300</v>
      </c>
      <c r="G469" s="359">
        <f t="shared" si="36"/>
        <v>100.9587727708533</v>
      </c>
      <c r="H469" s="339">
        <f t="shared" si="37"/>
        <v>0.3455858221201181</v>
      </c>
      <c r="I469" s="6"/>
      <c r="J469" s="158">
        <f>J454+J456+J465+J467</f>
        <v>105500</v>
      </c>
      <c r="K469" s="440">
        <f>K454+K456+K465+K467</f>
        <v>2800</v>
      </c>
    </row>
    <row r="470" spans="1:11" ht="9.75" customHeight="1">
      <c r="A470" s="520"/>
      <c r="B470" s="521"/>
      <c r="C470" s="526" t="s">
        <v>508</v>
      </c>
      <c r="D470" s="527"/>
      <c r="E470" s="188"/>
      <c r="F470" s="188"/>
      <c r="G470" s="188"/>
      <c r="H470" s="189"/>
      <c r="I470" s="6"/>
      <c r="J470" s="188"/>
      <c r="K470" s="188"/>
    </row>
    <row r="471" spans="1:11" ht="32.25" customHeight="1">
      <c r="A471" s="520"/>
      <c r="B471" s="521"/>
      <c r="C471" s="527"/>
      <c r="D471" s="527"/>
      <c r="E471" s="192"/>
      <c r="F471" s="192"/>
      <c r="G471" s="192"/>
      <c r="H471" s="193"/>
      <c r="I471" s="6"/>
      <c r="J471" s="192"/>
      <c r="K471" s="192"/>
    </row>
    <row r="472" spans="1:11" ht="14.25" customHeight="1">
      <c r="A472" s="213"/>
      <c r="B472" s="47">
        <v>411000</v>
      </c>
      <c r="C472" s="42"/>
      <c r="D472" s="72" t="s">
        <v>303</v>
      </c>
      <c r="E472" s="136">
        <f>SUM(E473)</f>
        <v>65000</v>
      </c>
      <c r="F472" s="136">
        <f>SUM(F473)</f>
        <v>60000</v>
      </c>
      <c r="G472" s="136">
        <f aca="true" t="shared" si="38" ref="G472:G492">IF(E472&gt;0,F472/E472*100,0)</f>
        <v>92.3076923076923</v>
      </c>
      <c r="H472" s="172">
        <f aca="true" t="shared" si="39" ref="H472:H492">F472/$F$587*100</f>
        <v>0.1969149983590417</v>
      </c>
      <c r="I472" s="6"/>
      <c r="J472" s="174">
        <f>SUM(J473)</f>
        <v>65439</v>
      </c>
      <c r="K472" s="174">
        <f>SUM(K473)</f>
        <v>0</v>
      </c>
    </row>
    <row r="473" spans="1:11" ht="24" customHeight="1">
      <c r="A473" s="120" t="s">
        <v>51</v>
      </c>
      <c r="B473" s="123"/>
      <c r="C473" s="60">
        <v>411200</v>
      </c>
      <c r="D473" s="66" t="s">
        <v>304</v>
      </c>
      <c r="E473" s="143">
        <v>65000</v>
      </c>
      <c r="F473" s="143">
        <v>60000</v>
      </c>
      <c r="G473" s="139">
        <f t="shared" si="38"/>
        <v>92.3076923076923</v>
      </c>
      <c r="H473" s="382">
        <f t="shared" si="39"/>
        <v>0.1969149983590417</v>
      </c>
      <c r="I473" s="6"/>
      <c r="J473" s="143">
        <v>65439</v>
      </c>
      <c r="K473" s="143"/>
    </row>
    <row r="474" spans="1:11" ht="14.25" customHeight="1">
      <c r="A474" s="213"/>
      <c r="B474" s="47">
        <v>412000</v>
      </c>
      <c r="C474" s="60"/>
      <c r="D474" s="72" t="s">
        <v>117</v>
      </c>
      <c r="E474" s="174">
        <f>SUM(E475:E482)</f>
        <v>58400</v>
      </c>
      <c r="F474" s="136">
        <f>SUM(F475:F482)</f>
        <v>67800</v>
      </c>
      <c r="G474" s="136">
        <f t="shared" si="38"/>
        <v>116.09589041095892</v>
      </c>
      <c r="H474" s="172">
        <f t="shared" si="39"/>
        <v>0.22251394814571712</v>
      </c>
      <c r="I474" s="6"/>
      <c r="J474" s="174">
        <f>SUM(J475:J482)</f>
        <v>65260</v>
      </c>
      <c r="K474" s="174">
        <f>SUM(K475:K482)</f>
        <v>0</v>
      </c>
    </row>
    <row r="475" spans="1:11" ht="25.5">
      <c r="A475" s="120" t="s">
        <v>51</v>
      </c>
      <c r="B475" s="47"/>
      <c r="C475" s="60">
        <v>412200</v>
      </c>
      <c r="D475" s="82" t="s">
        <v>119</v>
      </c>
      <c r="E475" s="143">
        <v>22000</v>
      </c>
      <c r="F475" s="143">
        <v>23500</v>
      </c>
      <c r="G475" s="139">
        <f t="shared" si="38"/>
        <v>106.81818181818181</v>
      </c>
      <c r="H475" s="382">
        <f t="shared" si="39"/>
        <v>0.077125041023958</v>
      </c>
      <c r="I475" s="6"/>
      <c r="J475" s="143">
        <v>22150</v>
      </c>
      <c r="K475" s="143"/>
    </row>
    <row r="476" spans="1:11" ht="12.75">
      <c r="A476" s="120" t="s">
        <v>51</v>
      </c>
      <c r="B476" s="47"/>
      <c r="C476" s="60">
        <v>412300</v>
      </c>
      <c r="D476" s="123" t="s">
        <v>120</v>
      </c>
      <c r="E476" s="143">
        <v>4000</v>
      </c>
      <c r="F476" s="143">
        <v>4500</v>
      </c>
      <c r="G476" s="139">
        <f t="shared" si="38"/>
        <v>112.5</v>
      </c>
      <c r="H476" s="382">
        <f t="shared" si="39"/>
        <v>0.014768624876928125</v>
      </c>
      <c r="I476" s="6"/>
      <c r="J476" s="143">
        <v>4000</v>
      </c>
      <c r="K476" s="143"/>
    </row>
    <row r="477" spans="1:11" ht="12.75">
      <c r="A477" s="120" t="s">
        <v>51</v>
      </c>
      <c r="B477" s="47"/>
      <c r="C477" s="60">
        <v>412400</v>
      </c>
      <c r="D477" s="82" t="s">
        <v>121</v>
      </c>
      <c r="E477" s="143">
        <v>12000</v>
      </c>
      <c r="F477" s="143">
        <v>13000</v>
      </c>
      <c r="G477" s="139">
        <f t="shared" si="38"/>
        <v>108.33333333333333</v>
      </c>
      <c r="H477" s="382">
        <f t="shared" si="39"/>
        <v>0.04266491631112569</v>
      </c>
      <c r="I477" s="6"/>
      <c r="J477" s="143">
        <v>14700</v>
      </c>
      <c r="K477" s="143"/>
    </row>
    <row r="478" spans="1:11" ht="12.75">
      <c r="A478" s="120" t="s">
        <v>51</v>
      </c>
      <c r="B478" s="47"/>
      <c r="C478" s="60">
        <v>412500</v>
      </c>
      <c r="D478" s="123" t="s">
        <v>122</v>
      </c>
      <c r="E478" s="143">
        <v>5800</v>
      </c>
      <c r="F478" s="143">
        <v>8000</v>
      </c>
      <c r="G478" s="139">
        <f t="shared" si="38"/>
        <v>137.93103448275863</v>
      </c>
      <c r="H478" s="382">
        <f t="shared" si="39"/>
        <v>0.02625533311453889</v>
      </c>
      <c r="I478" s="6"/>
      <c r="J478" s="143">
        <v>6710</v>
      </c>
      <c r="K478" s="143"/>
    </row>
    <row r="479" spans="1:11" ht="12.75">
      <c r="A479" s="120" t="s">
        <v>51</v>
      </c>
      <c r="B479" s="47"/>
      <c r="C479" s="60">
        <v>412600</v>
      </c>
      <c r="D479" s="123" t="s">
        <v>123</v>
      </c>
      <c r="E479" s="143">
        <v>1600</v>
      </c>
      <c r="F479" s="143">
        <v>1800</v>
      </c>
      <c r="G479" s="139">
        <f t="shared" si="38"/>
        <v>112.5</v>
      </c>
      <c r="H479" s="382">
        <f t="shared" si="39"/>
        <v>0.00590744995077125</v>
      </c>
      <c r="I479" s="6"/>
      <c r="J479" s="143">
        <v>3000</v>
      </c>
      <c r="K479" s="143"/>
    </row>
    <row r="480" spans="1:11" ht="12.75">
      <c r="A480" s="120" t="s">
        <v>51</v>
      </c>
      <c r="B480" s="47"/>
      <c r="C480" s="123">
        <v>412700</v>
      </c>
      <c r="D480" s="123" t="s">
        <v>124</v>
      </c>
      <c r="E480" s="145">
        <v>9000</v>
      </c>
      <c r="F480" s="145">
        <v>9000</v>
      </c>
      <c r="G480" s="139">
        <f t="shared" si="38"/>
        <v>100</v>
      </c>
      <c r="H480" s="382">
        <f t="shared" si="39"/>
        <v>0.02953724975385625</v>
      </c>
      <c r="I480" s="6"/>
      <c r="J480" s="145">
        <v>9900</v>
      </c>
      <c r="K480" s="145"/>
    </row>
    <row r="481" spans="1:11" ht="12.75">
      <c r="A481" s="120" t="s">
        <v>51</v>
      </c>
      <c r="B481" s="47"/>
      <c r="C481" s="123">
        <v>412900</v>
      </c>
      <c r="D481" s="123" t="s">
        <v>126</v>
      </c>
      <c r="E481" s="143">
        <v>4000</v>
      </c>
      <c r="F481" s="143">
        <v>8000</v>
      </c>
      <c r="G481" s="139">
        <f t="shared" si="38"/>
        <v>200</v>
      </c>
      <c r="H481" s="382">
        <f t="shared" si="39"/>
        <v>0.02625533311453889</v>
      </c>
      <c r="I481" s="6"/>
      <c r="J481" s="143">
        <v>4800</v>
      </c>
      <c r="K481" s="143"/>
    </row>
    <row r="482" spans="1:11" ht="12" customHeight="1" hidden="1">
      <c r="A482" s="120" t="s">
        <v>51</v>
      </c>
      <c r="B482" s="47"/>
      <c r="C482" s="123">
        <v>412900</v>
      </c>
      <c r="D482" s="123" t="s">
        <v>543</v>
      </c>
      <c r="E482" s="143">
        <v>0</v>
      </c>
      <c r="F482" s="143"/>
      <c r="G482" s="139">
        <f t="shared" si="38"/>
        <v>0</v>
      </c>
      <c r="H482" s="382">
        <f t="shared" si="39"/>
        <v>0</v>
      </c>
      <c r="I482" s="6"/>
      <c r="J482" s="143">
        <v>0</v>
      </c>
      <c r="K482" s="143"/>
    </row>
    <row r="483" spans="1:11" ht="13.5" customHeight="1">
      <c r="A483" s="120"/>
      <c r="B483" s="47">
        <v>416100</v>
      </c>
      <c r="C483" s="123"/>
      <c r="D483" s="378" t="s">
        <v>548</v>
      </c>
      <c r="E483" s="229">
        <f>E484</f>
        <v>44000</v>
      </c>
      <c r="F483" s="229">
        <f>F484</f>
        <v>15000</v>
      </c>
      <c r="G483" s="229">
        <f t="shared" si="38"/>
        <v>34.090909090909086</v>
      </c>
      <c r="H483" s="394">
        <f t="shared" si="39"/>
        <v>0.04922874958976042</v>
      </c>
      <c r="I483" s="6"/>
      <c r="J483" s="229">
        <f>J484</f>
        <v>44000</v>
      </c>
      <c r="K483" s="229">
        <f>K484</f>
        <v>0</v>
      </c>
    </row>
    <row r="484" spans="1:11" ht="24.75" customHeight="1">
      <c r="A484" s="120" t="s">
        <v>51</v>
      </c>
      <c r="B484" s="47"/>
      <c r="C484" s="123">
        <v>416100</v>
      </c>
      <c r="D484" s="82" t="s">
        <v>549</v>
      </c>
      <c r="E484" s="143">
        <v>44000</v>
      </c>
      <c r="F484" s="143">
        <v>15000</v>
      </c>
      <c r="G484" s="139">
        <f t="shared" si="38"/>
        <v>34.090909090909086</v>
      </c>
      <c r="H484" s="382">
        <f t="shared" si="39"/>
        <v>0.04922874958976042</v>
      </c>
      <c r="I484" s="6"/>
      <c r="J484" s="143">
        <v>44000</v>
      </c>
      <c r="K484" s="143">
        <v>0</v>
      </c>
    </row>
    <row r="485" spans="1:11" ht="13.5" customHeight="1" hidden="1">
      <c r="A485" s="120"/>
      <c r="B485" s="47">
        <v>419100</v>
      </c>
      <c r="C485" s="123"/>
      <c r="D485" s="146" t="s">
        <v>327</v>
      </c>
      <c r="E485" s="229"/>
      <c r="F485" s="229"/>
      <c r="G485" s="136">
        <f t="shared" si="38"/>
        <v>0</v>
      </c>
      <c r="H485" s="172">
        <f t="shared" si="39"/>
        <v>0</v>
      </c>
      <c r="I485" s="6"/>
      <c r="J485" s="229"/>
      <c r="K485" s="229"/>
    </row>
    <row r="486" spans="1:11" ht="15" customHeight="1" hidden="1">
      <c r="A486" s="120" t="s">
        <v>51</v>
      </c>
      <c r="B486" s="47"/>
      <c r="C486" s="123">
        <v>419100</v>
      </c>
      <c r="D486" s="123" t="s">
        <v>327</v>
      </c>
      <c r="E486" s="143"/>
      <c r="F486" s="143"/>
      <c r="G486" s="136">
        <f t="shared" si="38"/>
        <v>0</v>
      </c>
      <c r="H486" s="172">
        <f t="shared" si="39"/>
        <v>0</v>
      </c>
      <c r="I486" s="6"/>
      <c r="J486" s="143"/>
      <c r="K486" s="143"/>
    </row>
    <row r="487" spans="1:11" ht="14.25" customHeight="1">
      <c r="A487" s="120"/>
      <c r="B487" s="47">
        <v>511000</v>
      </c>
      <c r="C487" s="60"/>
      <c r="D487" s="134" t="s">
        <v>133</v>
      </c>
      <c r="E487" s="174">
        <f>SUM(E488:E489)</f>
        <v>4000</v>
      </c>
      <c r="F487" s="136">
        <f>SUM(F488:F489)</f>
        <v>8000</v>
      </c>
      <c r="G487" s="136">
        <f t="shared" si="38"/>
        <v>200</v>
      </c>
      <c r="H487" s="172">
        <f t="shared" si="39"/>
        <v>0.02625533311453889</v>
      </c>
      <c r="I487" s="6"/>
      <c r="J487" s="174">
        <f>SUM(J488:J489)</f>
        <v>7000</v>
      </c>
      <c r="K487" s="174">
        <f>SUM(K488:K489)</f>
        <v>86000</v>
      </c>
    </row>
    <row r="488" spans="1:11" ht="17.25" customHeight="1" hidden="1">
      <c r="A488" s="120" t="s">
        <v>51</v>
      </c>
      <c r="B488" s="47"/>
      <c r="C488" s="60">
        <v>511200</v>
      </c>
      <c r="D488" s="116" t="s">
        <v>577</v>
      </c>
      <c r="E488" s="143">
        <v>0</v>
      </c>
      <c r="F488" s="143">
        <v>0</v>
      </c>
      <c r="G488" s="139">
        <f t="shared" si="38"/>
        <v>0</v>
      </c>
      <c r="H488" s="382">
        <f t="shared" si="39"/>
        <v>0</v>
      </c>
      <c r="I488" s="6"/>
      <c r="J488" s="143">
        <v>0</v>
      </c>
      <c r="K488" s="143">
        <v>86000</v>
      </c>
    </row>
    <row r="489" spans="1:11" ht="15.75" customHeight="1">
      <c r="A489" s="120" t="s">
        <v>51</v>
      </c>
      <c r="B489" s="123"/>
      <c r="C489" s="60">
        <v>511300</v>
      </c>
      <c r="D489" s="123" t="s">
        <v>2</v>
      </c>
      <c r="E489" s="143">
        <v>4000</v>
      </c>
      <c r="F489" s="143">
        <v>8000</v>
      </c>
      <c r="G489" s="139">
        <f t="shared" si="38"/>
        <v>200</v>
      </c>
      <c r="H489" s="382">
        <f t="shared" si="39"/>
        <v>0.02625533311453889</v>
      </c>
      <c r="I489" s="6"/>
      <c r="J489" s="143">
        <v>7000</v>
      </c>
      <c r="K489" s="143">
        <v>0</v>
      </c>
    </row>
    <row r="490" spans="1:11" ht="17.25" customHeight="1">
      <c r="A490" s="120"/>
      <c r="B490" s="47">
        <v>516000</v>
      </c>
      <c r="C490" s="60"/>
      <c r="D490" s="134" t="s">
        <v>274</v>
      </c>
      <c r="E490" s="174">
        <f>SUM(E491)</f>
        <v>600</v>
      </c>
      <c r="F490" s="136">
        <f>SUM(F491)</f>
        <v>700</v>
      </c>
      <c r="G490" s="136">
        <f t="shared" si="38"/>
        <v>116.66666666666667</v>
      </c>
      <c r="H490" s="172">
        <f t="shared" si="39"/>
        <v>0.002297341647522153</v>
      </c>
      <c r="I490" s="6"/>
      <c r="J490" s="174">
        <f>SUM(J491)</f>
        <v>600</v>
      </c>
      <c r="K490" s="174">
        <f>SUM(K491)</f>
        <v>0</v>
      </c>
    </row>
    <row r="491" spans="1:11" ht="14.25" customHeight="1">
      <c r="A491" s="120" t="s">
        <v>51</v>
      </c>
      <c r="B491" s="123"/>
      <c r="C491" s="60">
        <v>516100</v>
      </c>
      <c r="D491" s="82" t="s">
        <v>265</v>
      </c>
      <c r="E491" s="143">
        <v>600</v>
      </c>
      <c r="F491" s="143">
        <v>700</v>
      </c>
      <c r="G491" s="139">
        <f t="shared" si="38"/>
        <v>116.66666666666667</v>
      </c>
      <c r="H491" s="382">
        <f t="shared" si="39"/>
        <v>0.002297341647522153</v>
      </c>
      <c r="I491" s="6"/>
      <c r="J491" s="143">
        <v>600</v>
      </c>
      <c r="K491" s="143"/>
    </row>
    <row r="492" spans="1:11" ht="30" customHeight="1">
      <c r="A492" s="520"/>
      <c r="B492" s="521"/>
      <c r="C492" s="524" t="s">
        <v>87</v>
      </c>
      <c r="D492" s="525"/>
      <c r="E492" s="158">
        <f>E472+E474+E483+E487+E485+E490</f>
        <v>172000</v>
      </c>
      <c r="F492" s="439">
        <f>F472+F474+F483+F487+F485+F490</f>
        <v>151500</v>
      </c>
      <c r="G492" s="359">
        <f t="shared" si="38"/>
        <v>88.0813953488372</v>
      </c>
      <c r="H492" s="339">
        <f t="shared" si="39"/>
        <v>0.49721037085658026</v>
      </c>
      <c r="I492" s="6"/>
      <c r="J492" s="158">
        <f>J472+J474+J483+J487+J485+J490</f>
        <v>182299</v>
      </c>
      <c r="K492" s="440">
        <f>K472+K474+K483+K487+K485+K490</f>
        <v>86000</v>
      </c>
    </row>
    <row r="493" spans="1:11" ht="9.75" customHeight="1">
      <c r="A493" s="537"/>
      <c r="B493" s="538"/>
      <c r="C493" s="526" t="s">
        <v>509</v>
      </c>
      <c r="D493" s="527"/>
      <c r="E493" s="190"/>
      <c r="F493" s="190"/>
      <c r="G493" s="190"/>
      <c r="H493" s="191"/>
      <c r="I493" s="6"/>
      <c r="J493" s="190"/>
      <c r="K493" s="190"/>
    </row>
    <row r="494" spans="1:11" ht="36.75" customHeight="1">
      <c r="A494" s="520"/>
      <c r="B494" s="521"/>
      <c r="C494" s="527"/>
      <c r="D494" s="527"/>
      <c r="E494" s="192"/>
      <c r="F494" s="192"/>
      <c r="G494" s="192"/>
      <c r="H494" s="193"/>
      <c r="I494" s="6"/>
      <c r="J494" s="192"/>
      <c r="K494" s="192"/>
    </row>
    <row r="495" spans="1:11" ht="14.25" customHeight="1">
      <c r="A495" s="120"/>
      <c r="B495" s="47">
        <v>411000</v>
      </c>
      <c r="C495" s="123"/>
      <c r="D495" s="65" t="s">
        <v>303</v>
      </c>
      <c r="E495" s="135">
        <f>SUM(E496:E499)</f>
        <v>311000</v>
      </c>
      <c r="F495" s="136">
        <f>SUM(F496:F499)</f>
        <v>286000</v>
      </c>
      <c r="G495" s="136">
        <f aca="true" t="shared" si="40" ref="G495:G517">IF(E495&gt;0,F495/E495*100,0)</f>
        <v>91.96141479099678</v>
      </c>
      <c r="H495" s="172">
        <f aca="true" t="shared" si="41" ref="H495:H517">F495/$F$587*100</f>
        <v>0.9386281588447654</v>
      </c>
      <c r="I495" s="6"/>
      <c r="J495" s="140">
        <f>SUM(J496:J499)</f>
        <v>215000</v>
      </c>
      <c r="K495" s="174">
        <f>SUM(K496:K499)</f>
        <v>0</v>
      </c>
    </row>
    <row r="496" spans="1:11" ht="12.75">
      <c r="A496" s="120" t="s">
        <v>30</v>
      </c>
      <c r="B496" s="123"/>
      <c r="C496" s="60">
        <v>411100</v>
      </c>
      <c r="D496" s="66" t="s">
        <v>299</v>
      </c>
      <c r="E496" s="143">
        <v>244000</v>
      </c>
      <c r="F496" s="143">
        <v>215000</v>
      </c>
      <c r="G496" s="139">
        <f t="shared" si="40"/>
        <v>88.11475409836066</v>
      </c>
      <c r="H496" s="382">
        <f t="shared" si="41"/>
        <v>0.7056120774532327</v>
      </c>
      <c r="I496" s="6"/>
      <c r="J496" s="143">
        <v>163000</v>
      </c>
      <c r="K496" s="143"/>
    </row>
    <row r="497" spans="1:11" ht="25.5">
      <c r="A497" s="120" t="s">
        <v>30</v>
      </c>
      <c r="B497" s="123"/>
      <c r="C497" s="60">
        <v>411200</v>
      </c>
      <c r="D497" s="66" t="s">
        <v>304</v>
      </c>
      <c r="E497" s="143">
        <v>60000</v>
      </c>
      <c r="F497" s="143">
        <v>60000</v>
      </c>
      <c r="G497" s="139">
        <f t="shared" si="40"/>
        <v>100</v>
      </c>
      <c r="H497" s="382">
        <f t="shared" si="41"/>
        <v>0.1969149983590417</v>
      </c>
      <c r="I497" s="6"/>
      <c r="J497" s="143">
        <v>45000</v>
      </c>
      <c r="K497" s="143"/>
    </row>
    <row r="498" spans="1:11" ht="25.5" customHeight="1">
      <c r="A498" s="120" t="s">
        <v>30</v>
      </c>
      <c r="B498" s="123"/>
      <c r="C498" s="60">
        <v>411300</v>
      </c>
      <c r="D498" s="66" t="s">
        <v>380</v>
      </c>
      <c r="E498" s="143">
        <v>4000</v>
      </c>
      <c r="F498" s="143">
        <v>4000</v>
      </c>
      <c r="G498" s="139">
        <f t="shared" si="40"/>
        <v>100</v>
      </c>
      <c r="H498" s="382">
        <f t="shared" si="41"/>
        <v>0.013127666557269446</v>
      </c>
      <c r="I498" s="6"/>
      <c r="J498" s="143">
        <v>4000</v>
      </c>
      <c r="K498" s="143"/>
    </row>
    <row r="499" spans="1:11" ht="12.75">
      <c r="A499" s="120" t="s">
        <v>30</v>
      </c>
      <c r="B499" s="123"/>
      <c r="C499" s="60">
        <v>411400</v>
      </c>
      <c r="D499" s="67" t="s">
        <v>300</v>
      </c>
      <c r="E499" s="143">
        <v>3000</v>
      </c>
      <c r="F499" s="143">
        <v>7000</v>
      </c>
      <c r="G499" s="139">
        <f t="shared" si="40"/>
        <v>233.33333333333334</v>
      </c>
      <c r="H499" s="382">
        <f t="shared" si="41"/>
        <v>0.02297341647522153</v>
      </c>
      <c r="I499" s="6"/>
      <c r="J499" s="143">
        <v>3000</v>
      </c>
      <c r="K499" s="143"/>
    </row>
    <row r="500" spans="1:11" ht="14.25" customHeight="1">
      <c r="A500" s="120"/>
      <c r="B500" s="47">
        <v>412000</v>
      </c>
      <c r="C500" s="60"/>
      <c r="D500" s="134" t="s">
        <v>117</v>
      </c>
      <c r="E500" s="174">
        <f>SUM(E501:E509)</f>
        <v>60300</v>
      </c>
      <c r="F500" s="136">
        <f>SUM(F501:F509)</f>
        <v>76500</v>
      </c>
      <c r="G500" s="136">
        <f t="shared" si="40"/>
        <v>126.86567164179105</v>
      </c>
      <c r="H500" s="172">
        <f t="shared" si="41"/>
        <v>0.25106662290777815</v>
      </c>
      <c r="I500" s="6"/>
      <c r="J500" s="174">
        <f>SUM(J501:J509)</f>
        <v>63300</v>
      </c>
      <c r="K500" s="174">
        <f>SUM(K501:K509)</f>
        <v>0</v>
      </c>
    </row>
    <row r="501" spans="1:11" ht="14.25" customHeight="1">
      <c r="A501" s="120" t="s">
        <v>30</v>
      </c>
      <c r="B501" s="47"/>
      <c r="C501" s="60">
        <v>412100</v>
      </c>
      <c r="D501" s="82" t="s">
        <v>388</v>
      </c>
      <c r="E501" s="145">
        <v>7000</v>
      </c>
      <c r="F501" s="145">
        <v>7000</v>
      </c>
      <c r="G501" s="139">
        <f t="shared" si="40"/>
        <v>100</v>
      </c>
      <c r="H501" s="382">
        <f t="shared" si="41"/>
        <v>0.02297341647522153</v>
      </c>
      <c r="I501" s="6"/>
      <c r="J501" s="145">
        <v>7000</v>
      </c>
      <c r="K501" s="145"/>
    </row>
    <row r="502" spans="1:11" ht="25.5">
      <c r="A502" s="120" t="s">
        <v>30</v>
      </c>
      <c r="B502" s="47"/>
      <c r="C502" s="60">
        <v>412200</v>
      </c>
      <c r="D502" s="82" t="s">
        <v>119</v>
      </c>
      <c r="E502" s="143">
        <v>20000</v>
      </c>
      <c r="F502" s="143">
        <v>25000</v>
      </c>
      <c r="G502" s="139">
        <f t="shared" si="40"/>
        <v>125</v>
      </c>
      <c r="H502" s="382">
        <f t="shared" si="41"/>
        <v>0.08204791598293404</v>
      </c>
      <c r="I502" s="6"/>
      <c r="J502" s="143">
        <v>20000</v>
      </c>
      <c r="K502" s="143"/>
    </row>
    <row r="503" spans="1:11" ht="12.75">
      <c r="A503" s="120" t="s">
        <v>30</v>
      </c>
      <c r="B503" s="47"/>
      <c r="C503" s="60">
        <v>412300</v>
      </c>
      <c r="D503" s="123" t="s">
        <v>120</v>
      </c>
      <c r="E503" s="143">
        <v>2000</v>
      </c>
      <c r="F503" s="143">
        <v>3000</v>
      </c>
      <c r="G503" s="139">
        <f t="shared" si="40"/>
        <v>150</v>
      </c>
      <c r="H503" s="382">
        <f t="shared" si="41"/>
        <v>0.009845749917952083</v>
      </c>
      <c r="I503" s="6"/>
      <c r="J503" s="143">
        <v>2000</v>
      </c>
      <c r="K503" s="143"/>
    </row>
    <row r="504" spans="1:11" ht="12.75">
      <c r="A504" s="120" t="s">
        <v>30</v>
      </c>
      <c r="B504" s="47"/>
      <c r="C504" s="60">
        <v>412500</v>
      </c>
      <c r="D504" s="123" t="s">
        <v>122</v>
      </c>
      <c r="E504" s="143">
        <v>3000</v>
      </c>
      <c r="F504" s="143">
        <v>6000</v>
      </c>
      <c r="G504" s="139">
        <f t="shared" si="40"/>
        <v>200</v>
      </c>
      <c r="H504" s="382">
        <f t="shared" si="41"/>
        <v>0.019691499835904167</v>
      </c>
      <c r="I504" s="6"/>
      <c r="J504" s="143">
        <v>3000</v>
      </c>
      <c r="K504" s="143"/>
    </row>
    <row r="505" spans="1:11" ht="12.75">
      <c r="A505" s="120" t="s">
        <v>30</v>
      </c>
      <c r="B505" s="47"/>
      <c r="C505" s="60">
        <v>412600</v>
      </c>
      <c r="D505" s="123" t="s">
        <v>123</v>
      </c>
      <c r="E505" s="143">
        <v>300</v>
      </c>
      <c r="F505" s="143">
        <v>500</v>
      </c>
      <c r="G505" s="139">
        <f t="shared" si="40"/>
        <v>166.66666666666669</v>
      </c>
      <c r="H505" s="382">
        <f t="shared" si="41"/>
        <v>0.0016409583196586807</v>
      </c>
      <c r="I505" s="6"/>
      <c r="J505" s="143">
        <v>300</v>
      </c>
      <c r="K505" s="143"/>
    </row>
    <row r="506" spans="1:11" ht="12.75" customHeight="1">
      <c r="A506" s="120" t="s">
        <v>30</v>
      </c>
      <c r="B506" s="47"/>
      <c r="C506" s="123">
        <v>412700</v>
      </c>
      <c r="D506" s="123" t="s">
        <v>164</v>
      </c>
      <c r="E506" s="145">
        <v>15000</v>
      </c>
      <c r="F506" s="145">
        <v>20000</v>
      </c>
      <c r="G506" s="139">
        <f t="shared" si="40"/>
        <v>133.33333333333331</v>
      </c>
      <c r="H506" s="382">
        <f t="shared" si="41"/>
        <v>0.06563833278634722</v>
      </c>
      <c r="I506" s="6"/>
      <c r="J506" s="145">
        <v>15000</v>
      </c>
      <c r="K506" s="145"/>
    </row>
    <row r="507" spans="1:11" ht="15" customHeight="1" hidden="1">
      <c r="A507" s="120" t="s">
        <v>30</v>
      </c>
      <c r="B507" s="47"/>
      <c r="C507" s="123">
        <v>412700</v>
      </c>
      <c r="D507" s="82" t="s">
        <v>439</v>
      </c>
      <c r="E507" s="145"/>
      <c r="F507" s="145"/>
      <c r="G507" s="139">
        <f t="shared" si="40"/>
        <v>0</v>
      </c>
      <c r="H507" s="382">
        <f t="shared" si="41"/>
        <v>0</v>
      </c>
      <c r="I507" s="6"/>
      <c r="J507" s="145"/>
      <c r="K507" s="145"/>
    </row>
    <row r="508" spans="1:11" ht="14.25" customHeight="1">
      <c r="A508" s="120" t="s">
        <v>30</v>
      </c>
      <c r="B508" s="47"/>
      <c r="C508" s="123">
        <v>412700</v>
      </c>
      <c r="D508" s="82" t="s">
        <v>632</v>
      </c>
      <c r="E508" s="145">
        <v>8000</v>
      </c>
      <c r="F508" s="145">
        <v>8000</v>
      </c>
      <c r="G508" s="139">
        <f t="shared" si="40"/>
        <v>100</v>
      </c>
      <c r="H508" s="382">
        <f t="shared" si="41"/>
        <v>0.02625533311453889</v>
      </c>
      <c r="I508" s="6"/>
      <c r="J508" s="145">
        <v>10000</v>
      </c>
      <c r="K508" s="145"/>
    </row>
    <row r="509" spans="1:11" ht="12" customHeight="1">
      <c r="A509" s="120" t="s">
        <v>30</v>
      </c>
      <c r="B509" s="47"/>
      <c r="C509" s="123">
        <v>412900</v>
      </c>
      <c r="D509" s="82" t="s">
        <v>126</v>
      </c>
      <c r="E509" s="306">
        <v>5000</v>
      </c>
      <c r="F509" s="306">
        <v>7000</v>
      </c>
      <c r="G509" s="139">
        <f t="shared" si="40"/>
        <v>140</v>
      </c>
      <c r="H509" s="382">
        <f t="shared" si="41"/>
        <v>0.02297341647522153</v>
      </c>
      <c r="I509" s="6"/>
      <c r="J509" s="306">
        <v>6000</v>
      </c>
      <c r="K509" s="306"/>
    </row>
    <row r="510" spans="1:11" ht="11.25" customHeight="1">
      <c r="A510" s="120"/>
      <c r="B510" s="47">
        <v>511000</v>
      </c>
      <c r="C510" s="123"/>
      <c r="D510" s="134" t="s">
        <v>133</v>
      </c>
      <c r="E510" s="174">
        <f>SUM(E511:E512)</f>
        <v>5000</v>
      </c>
      <c r="F510" s="136">
        <f>SUM(F511:F512)</f>
        <v>9800</v>
      </c>
      <c r="G510" s="136">
        <f t="shared" si="40"/>
        <v>196</v>
      </c>
      <c r="H510" s="172">
        <f t="shared" si="41"/>
        <v>0.03216278306531014</v>
      </c>
      <c r="I510" s="6"/>
      <c r="J510" s="174">
        <f>SUM(J511:J512)</f>
        <v>7000</v>
      </c>
      <c r="K510" s="174">
        <f>SUM(K511:K512)</f>
        <v>0</v>
      </c>
    </row>
    <row r="511" spans="1:11" ht="15" customHeight="1" hidden="1">
      <c r="A511" s="120" t="s">
        <v>30</v>
      </c>
      <c r="B511" s="123"/>
      <c r="C511" s="60">
        <v>511200</v>
      </c>
      <c r="D511" s="82" t="s">
        <v>143</v>
      </c>
      <c r="E511" s="145"/>
      <c r="F511" s="145"/>
      <c r="G511" s="136">
        <f t="shared" si="40"/>
        <v>0</v>
      </c>
      <c r="H511" s="172">
        <f t="shared" si="41"/>
        <v>0</v>
      </c>
      <c r="I511" s="6"/>
      <c r="J511" s="145"/>
      <c r="K511" s="145"/>
    </row>
    <row r="512" spans="1:11" ht="12" customHeight="1">
      <c r="A512" s="120" t="s">
        <v>30</v>
      </c>
      <c r="B512" s="123"/>
      <c r="C512" s="60">
        <v>511300</v>
      </c>
      <c r="D512" s="82" t="s">
        <v>2</v>
      </c>
      <c r="E512" s="145">
        <v>5000</v>
      </c>
      <c r="F512" s="145">
        <v>9800</v>
      </c>
      <c r="G512" s="139">
        <f t="shared" si="40"/>
        <v>196</v>
      </c>
      <c r="H512" s="382">
        <f t="shared" si="41"/>
        <v>0.03216278306531014</v>
      </c>
      <c r="I512" s="6"/>
      <c r="J512" s="145">
        <v>7000</v>
      </c>
      <c r="K512" s="145"/>
    </row>
    <row r="513" spans="1:11" ht="16.5" customHeight="1">
      <c r="A513" s="120"/>
      <c r="B513" s="47">
        <v>516000</v>
      </c>
      <c r="C513" s="123"/>
      <c r="D513" s="134" t="s">
        <v>274</v>
      </c>
      <c r="E513" s="174">
        <f>SUM(E514:E514)</f>
        <v>50000</v>
      </c>
      <c r="F513" s="136">
        <f>SUM(F514:F514)</f>
        <v>55000</v>
      </c>
      <c r="G513" s="136">
        <f t="shared" si="40"/>
        <v>110.00000000000001</v>
      </c>
      <c r="H513" s="172">
        <f t="shared" si="41"/>
        <v>0.18050541516245489</v>
      </c>
      <c r="I513" s="6"/>
      <c r="J513" s="174">
        <f>SUM(J514:J514)</f>
        <v>50000</v>
      </c>
      <c r="K513" s="174">
        <f>SUM(K514:K514)</f>
        <v>0</v>
      </c>
    </row>
    <row r="514" spans="1:11" ht="15.75" customHeight="1">
      <c r="A514" s="120" t="s">
        <v>30</v>
      </c>
      <c r="B514" s="47"/>
      <c r="C514" s="123">
        <v>516100</v>
      </c>
      <c r="D514" s="82" t="s">
        <v>161</v>
      </c>
      <c r="E514" s="139">
        <v>50000</v>
      </c>
      <c r="F514" s="139">
        <v>55000</v>
      </c>
      <c r="G514" s="139">
        <f t="shared" si="40"/>
        <v>110.00000000000001</v>
      </c>
      <c r="H514" s="382">
        <f t="shared" si="41"/>
        <v>0.18050541516245489</v>
      </c>
      <c r="I514" s="6"/>
      <c r="J514" s="139">
        <v>50000</v>
      </c>
      <c r="K514" s="139"/>
    </row>
    <row r="515" spans="1:11" ht="25.5">
      <c r="A515" s="120"/>
      <c r="B515" s="47">
        <v>638000</v>
      </c>
      <c r="C515" s="60"/>
      <c r="D515" s="134" t="s">
        <v>301</v>
      </c>
      <c r="E515" s="140">
        <f>SUM(E516)</f>
        <v>2000</v>
      </c>
      <c r="F515" s="136">
        <f>SUM(F516)</f>
        <v>2000</v>
      </c>
      <c r="G515" s="136">
        <f t="shared" si="40"/>
        <v>100</v>
      </c>
      <c r="H515" s="172">
        <f t="shared" si="41"/>
        <v>0.006563833278634723</v>
      </c>
      <c r="I515" s="6"/>
      <c r="J515" s="140">
        <f>SUM(J516)</f>
        <v>2000</v>
      </c>
      <c r="K515" s="174">
        <f>SUM(K516)</f>
        <v>0</v>
      </c>
    </row>
    <row r="516" spans="1:11" ht="38.25">
      <c r="A516" s="120"/>
      <c r="B516" s="123"/>
      <c r="C516" s="60">
        <v>638100</v>
      </c>
      <c r="D516" s="82" t="s">
        <v>302</v>
      </c>
      <c r="E516" s="145">
        <v>2000</v>
      </c>
      <c r="F516" s="145">
        <v>2000</v>
      </c>
      <c r="G516" s="139">
        <f t="shared" si="40"/>
        <v>100</v>
      </c>
      <c r="H516" s="382">
        <f t="shared" si="41"/>
        <v>0.006563833278634723</v>
      </c>
      <c r="I516" s="6"/>
      <c r="J516" s="145">
        <v>2000</v>
      </c>
      <c r="K516" s="145"/>
    </row>
    <row r="517" spans="1:11" ht="24" customHeight="1">
      <c r="A517" s="522"/>
      <c r="B517" s="523"/>
      <c r="C517" s="524" t="s">
        <v>88</v>
      </c>
      <c r="D517" s="525"/>
      <c r="E517" s="158">
        <f>E495+E500+E510+E513+E515</f>
        <v>428300</v>
      </c>
      <c r="F517" s="439">
        <f>F495+F500+F510+F513+F515</f>
        <v>429300</v>
      </c>
      <c r="G517" s="359">
        <f t="shared" si="40"/>
        <v>100.23348120476301</v>
      </c>
      <c r="H517" s="339">
        <f t="shared" si="41"/>
        <v>1.4089268132589432</v>
      </c>
      <c r="I517" s="6"/>
      <c r="J517" s="158">
        <f>J495+J500+J510+J513+J515</f>
        <v>337300</v>
      </c>
      <c r="K517" s="440">
        <f>K495+K500+K510+K513+K515</f>
        <v>0</v>
      </c>
    </row>
    <row r="518" spans="1:11" ht="44.25" customHeight="1">
      <c r="A518" s="522"/>
      <c r="B518" s="523"/>
      <c r="C518" s="565" t="s">
        <v>510</v>
      </c>
      <c r="D518" s="566"/>
      <c r="E518" s="402"/>
      <c r="F518" s="402"/>
      <c r="G518" s="230"/>
      <c r="H518" s="231"/>
      <c r="I518" s="6"/>
      <c r="J518" s="402"/>
      <c r="K518" s="402"/>
    </row>
    <row r="519" spans="1:11" ht="14.25" customHeight="1">
      <c r="A519" s="120"/>
      <c r="B519" s="47">
        <v>412000</v>
      </c>
      <c r="C519" s="232"/>
      <c r="D519" s="134" t="s">
        <v>117</v>
      </c>
      <c r="E519" s="174">
        <f>SUM(E520:E524)</f>
        <v>10600</v>
      </c>
      <c r="F519" s="174">
        <f>SUM(F520:F524)</f>
        <v>10600</v>
      </c>
      <c r="G519" s="174">
        <f aca="true" t="shared" si="42" ref="G519:G527">IF(E519&gt;0,F519/E519*100,0)</f>
        <v>100</v>
      </c>
      <c r="H519" s="175">
        <f aca="true" t="shared" si="43" ref="H519:H527">F519/$F$587*100</f>
        <v>0.03478831637676403</v>
      </c>
      <c r="I519" s="6"/>
      <c r="J519" s="174">
        <f>SUM(J520:J524)</f>
        <v>10900</v>
      </c>
      <c r="K519" s="174">
        <f>SUM(K520:K524)</f>
        <v>0</v>
      </c>
    </row>
    <row r="520" spans="1:11" ht="24" customHeight="1">
      <c r="A520" s="120" t="s">
        <v>30</v>
      </c>
      <c r="B520" s="123"/>
      <c r="C520" s="233">
        <v>412200</v>
      </c>
      <c r="D520" s="82" t="s">
        <v>119</v>
      </c>
      <c r="E520" s="144">
        <v>3300</v>
      </c>
      <c r="F520" s="144">
        <v>3300</v>
      </c>
      <c r="G520" s="185">
        <f t="shared" si="42"/>
        <v>100</v>
      </c>
      <c r="H520" s="173">
        <f t="shared" si="43"/>
        <v>0.010830324909747292</v>
      </c>
      <c r="I520" s="6"/>
      <c r="J520" s="144">
        <v>3300</v>
      </c>
      <c r="K520" s="144"/>
    </row>
    <row r="521" spans="1:11" ht="12.75">
      <c r="A521" s="120" t="s">
        <v>30</v>
      </c>
      <c r="B521" s="123"/>
      <c r="C521" s="233">
        <v>412300</v>
      </c>
      <c r="D521" s="123" t="s">
        <v>120</v>
      </c>
      <c r="E521" s="142">
        <v>1800</v>
      </c>
      <c r="F521" s="142">
        <v>1800</v>
      </c>
      <c r="G521" s="185">
        <f t="shared" si="42"/>
        <v>100</v>
      </c>
      <c r="H521" s="173">
        <f t="shared" si="43"/>
        <v>0.00590744995077125</v>
      </c>
      <c r="I521" s="6"/>
      <c r="J521" s="142">
        <v>1800</v>
      </c>
      <c r="K521" s="142"/>
    </row>
    <row r="522" spans="1:11" ht="12.75">
      <c r="A522" s="120" t="s">
        <v>30</v>
      </c>
      <c r="B522" s="123"/>
      <c r="C522" s="233">
        <v>412500</v>
      </c>
      <c r="D522" s="123" t="s">
        <v>122</v>
      </c>
      <c r="E522" s="142">
        <v>2500</v>
      </c>
      <c r="F522" s="142">
        <v>2500</v>
      </c>
      <c r="G522" s="185">
        <f t="shared" si="42"/>
        <v>100</v>
      </c>
      <c r="H522" s="173">
        <f t="shared" si="43"/>
        <v>0.008204791598293402</v>
      </c>
      <c r="I522" s="6"/>
      <c r="J522" s="142">
        <v>2800</v>
      </c>
      <c r="K522" s="142"/>
    </row>
    <row r="523" spans="1:11" ht="12.75">
      <c r="A523" s="120" t="s">
        <v>30</v>
      </c>
      <c r="B523" s="123"/>
      <c r="C523" s="233">
        <v>412700</v>
      </c>
      <c r="D523" s="123" t="s">
        <v>124</v>
      </c>
      <c r="E523" s="144">
        <v>2000</v>
      </c>
      <c r="F523" s="144">
        <v>2000</v>
      </c>
      <c r="G523" s="185">
        <f t="shared" si="42"/>
        <v>100</v>
      </c>
      <c r="H523" s="173">
        <f t="shared" si="43"/>
        <v>0.006563833278634723</v>
      </c>
      <c r="I523" s="6"/>
      <c r="J523" s="144">
        <v>2000</v>
      </c>
      <c r="K523" s="144"/>
    </row>
    <row r="524" spans="1:11" ht="12.75">
      <c r="A524" s="120" t="s">
        <v>30</v>
      </c>
      <c r="B524" s="123"/>
      <c r="C524" s="233">
        <v>412900</v>
      </c>
      <c r="D524" s="123" t="s">
        <v>126</v>
      </c>
      <c r="E524" s="144">
        <v>1000</v>
      </c>
      <c r="F524" s="144">
        <v>1000</v>
      </c>
      <c r="G524" s="185">
        <f t="shared" si="42"/>
        <v>100</v>
      </c>
      <c r="H524" s="173">
        <f t="shared" si="43"/>
        <v>0.0032819166393173614</v>
      </c>
      <c r="I524" s="6"/>
      <c r="J524" s="144">
        <v>1000</v>
      </c>
      <c r="K524" s="144"/>
    </row>
    <row r="525" spans="1:11" ht="12.75">
      <c r="A525" s="120"/>
      <c r="B525" s="47">
        <v>511000</v>
      </c>
      <c r="C525" s="234"/>
      <c r="D525" s="134" t="s">
        <v>133</v>
      </c>
      <c r="E525" s="174">
        <f>SUM(E526:E526)</f>
        <v>2200</v>
      </c>
      <c r="F525" s="174">
        <f>SUM(F526:F526)</f>
        <v>2200</v>
      </c>
      <c r="G525" s="174">
        <f t="shared" si="42"/>
        <v>100</v>
      </c>
      <c r="H525" s="175">
        <f t="shared" si="43"/>
        <v>0.007220216606498195</v>
      </c>
      <c r="I525" s="6"/>
      <c r="J525" s="174">
        <f>SUM(J526:J526)</f>
        <v>2220</v>
      </c>
      <c r="K525" s="174">
        <f>SUM(K526:K526)</f>
        <v>0</v>
      </c>
    </row>
    <row r="526" spans="1:11" ht="12.75">
      <c r="A526" s="120" t="s">
        <v>30</v>
      </c>
      <c r="B526" s="123"/>
      <c r="C526" s="233">
        <v>511300</v>
      </c>
      <c r="D526" s="123" t="s">
        <v>2</v>
      </c>
      <c r="E526" s="142">
        <v>2200</v>
      </c>
      <c r="F526" s="142">
        <v>2200</v>
      </c>
      <c r="G526" s="185">
        <f t="shared" si="42"/>
        <v>100</v>
      </c>
      <c r="H526" s="173">
        <f t="shared" si="43"/>
        <v>0.007220216606498195</v>
      </c>
      <c r="I526" s="6"/>
      <c r="J526" s="142">
        <v>2220</v>
      </c>
      <c r="K526" s="142"/>
    </row>
    <row r="527" spans="1:11" ht="30" customHeight="1">
      <c r="A527" s="522"/>
      <c r="B527" s="523"/>
      <c r="C527" s="524" t="s">
        <v>252</v>
      </c>
      <c r="D527" s="524"/>
      <c r="E527" s="49">
        <f>E519+E525</f>
        <v>12800</v>
      </c>
      <c r="F527" s="436">
        <f>F519+F525</f>
        <v>12800</v>
      </c>
      <c r="G527" s="360">
        <f t="shared" si="42"/>
        <v>100</v>
      </c>
      <c r="H527" s="390">
        <f t="shared" si="43"/>
        <v>0.04200853298326222</v>
      </c>
      <c r="I527" s="6"/>
      <c r="J527" s="49">
        <f>J519+J525</f>
        <v>13120</v>
      </c>
      <c r="K527" s="436">
        <f>K519+K525</f>
        <v>0</v>
      </c>
    </row>
    <row r="528" spans="1:11" ht="21.75" customHeight="1">
      <c r="A528" s="160"/>
      <c r="B528" s="161"/>
      <c r="C528" s="526" t="s">
        <v>511</v>
      </c>
      <c r="D528" s="527"/>
      <c r="E528" s="235"/>
      <c r="F528" s="235"/>
      <c r="G528" s="162"/>
      <c r="H528" s="226"/>
      <c r="I528" s="6"/>
      <c r="J528" s="235"/>
      <c r="K528" s="235"/>
    </row>
    <row r="529" spans="1:11" ht="21.75" customHeight="1">
      <c r="A529" s="168"/>
      <c r="B529" s="169"/>
      <c r="C529" s="527"/>
      <c r="D529" s="527"/>
      <c r="E529" s="236"/>
      <c r="F529" s="236"/>
      <c r="G529" s="170"/>
      <c r="H529" s="228"/>
      <c r="I529" s="6"/>
      <c r="J529" s="236"/>
      <c r="K529" s="236"/>
    </row>
    <row r="530" spans="1:11" ht="12.75">
      <c r="A530" s="405"/>
      <c r="B530" s="237" t="s">
        <v>333</v>
      </c>
      <c r="C530" s="404"/>
      <c r="D530" s="72" t="s">
        <v>303</v>
      </c>
      <c r="E530" s="136">
        <f>SUM(E531)</f>
        <v>3000</v>
      </c>
      <c r="F530" s="136">
        <f>SUM(F531)</f>
        <v>3000</v>
      </c>
      <c r="G530" s="136">
        <f aca="true" t="shared" si="44" ref="G530:G544">IF(E530&gt;0,F530/E530*100,0)</f>
        <v>100</v>
      </c>
      <c r="H530" s="172">
        <f aca="true" t="shared" si="45" ref="H530:H544">F530/$F$587*100</f>
        <v>0.009845749917952083</v>
      </c>
      <c r="I530" s="6"/>
      <c r="J530" s="174">
        <f>SUM(J531)</f>
        <v>3000</v>
      </c>
      <c r="K530" s="174">
        <f>SUM(K531)</f>
        <v>11355</v>
      </c>
    </row>
    <row r="531" spans="1:11" ht="25.5">
      <c r="A531" s="238" t="s">
        <v>26</v>
      </c>
      <c r="B531" s="237"/>
      <c r="C531" s="309">
        <v>411200</v>
      </c>
      <c r="D531" s="66" t="s">
        <v>304</v>
      </c>
      <c r="E531" s="143">
        <v>3000</v>
      </c>
      <c r="F531" s="143">
        <v>3000</v>
      </c>
      <c r="G531" s="139">
        <f t="shared" si="44"/>
        <v>100</v>
      </c>
      <c r="H531" s="382">
        <f t="shared" si="45"/>
        <v>0.009845749917952083</v>
      </c>
      <c r="I531" s="6"/>
      <c r="J531" s="143">
        <v>3000</v>
      </c>
      <c r="K531" s="143">
        <v>11355</v>
      </c>
    </row>
    <row r="532" spans="1:11" ht="12.75">
      <c r="A532" s="238"/>
      <c r="B532" s="237" t="s">
        <v>334</v>
      </c>
      <c r="C532" s="310"/>
      <c r="D532" s="72" t="s">
        <v>117</v>
      </c>
      <c r="E532" s="136">
        <f>SUM(E533:E540)</f>
        <v>5500</v>
      </c>
      <c r="F532" s="136">
        <f>SUM(F533:F540)</f>
        <v>5500</v>
      </c>
      <c r="G532" s="136">
        <f t="shared" si="44"/>
        <v>100</v>
      </c>
      <c r="H532" s="172">
        <f t="shared" si="45"/>
        <v>0.018050541516245487</v>
      </c>
      <c r="I532" s="6"/>
      <c r="J532" s="136">
        <f>SUM(J533:J540)</f>
        <v>5500</v>
      </c>
      <c r="K532" s="136">
        <f>SUM(K533:K540)</f>
        <v>8872</v>
      </c>
    </row>
    <row r="533" spans="1:11" ht="25.5">
      <c r="A533" s="238" t="s">
        <v>26</v>
      </c>
      <c r="B533" s="237"/>
      <c r="C533" s="309">
        <v>412200</v>
      </c>
      <c r="D533" s="82" t="s">
        <v>119</v>
      </c>
      <c r="E533" s="143">
        <v>3500</v>
      </c>
      <c r="F533" s="143">
        <v>3500</v>
      </c>
      <c r="G533" s="139">
        <f t="shared" si="44"/>
        <v>100</v>
      </c>
      <c r="H533" s="382">
        <f t="shared" si="45"/>
        <v>0.011486708237610764</v>
      </c>
      <c r="I533" s="6"/>
      <c r="J533" s="143">
        <v>3500</v>
      </c>
      <c r="K533" s="143">
        <v>8872</v>
      </c>
    </row>
    <row r="534" spans="1:11" ht="12.75">
      <c r="A534" s="238" t="s">
        <v>26</v>
      </c>
      <c r="B534" s="237"/>
      <c r="C534" s="309">
        <v>412300</v>
      </c>
      <c r="D534" s="123" t="s">
        <v>120</v>
      </c>
      <c r="E534" s="143">
        <v>600</v>
      </c>
      <c r="F534" s="143">
        <v>600</v>
      </c>
      <c r="G534" s="139">
        <f t="shared" si="44"/>
        <v>100</v>
      </c>
      <c r="H534" s="382">
        <f t="shared" si="45"/>
        <v>0.001969149983590417</v>
      </c>
      <c r="I534" s="6"/>
      <c r="J534" s="143">
        <v>600</v>
      </c>
      <c r="K534" s="143"/>
    </row>
    <row r="535" spans="1:11" ht="13.5" customHeight="1">
      <c r="A535" s="238" t="s">
        <v>26</v>
      </c>
      <c r="B535" s="237"/>
      <c r="C535" s="309">
        <v>412400</v>
      </c>
      <c r="D535" s="82" t="s">
        <v>121</v>
      </c>
      <c r="E535" s="143">
        <v>100</v>
      </c>
      <c r="F535" s="143">
        <v>100</v>
      </c>
      <c r="G535" s="139">
        <f t="shared" si="44"/>
        <v>100</v>
      </c>
      <c r="H535" s="382">
        <f t="shared" si="45"/>
        <v>0.0003281916639317361</v>
      </c>
      <c r="I535" s="6"/>
      <c r="J535" s="143">
        <v>100</v>
      </c>
      <c r="K535" s="143"/>
    </row>
    <row r="536" spans="1:11" ht="12.75" customHeight="1" hidden="1">
      <c r="A536" s="238" t="s">
        <v>26</v>
      </c>
      <c r="B536" s="237"/>
      <c r="C536" s="309">
        <v>412600</v>
      </c>
      <c r="D536" s="82" t="s">
        <v>123</v>
      </c>
      <c r="E536" s="143"/>
      <c r="F536" s="143"/>
      <c r="G536" s="139">
        <f t="shared" si="44"/>
        <v>0</v>
      </c>
      <c r="H536" s="382">
        <f t="shared" si="45"/>
        <v>0</v>
      </c>
      <c r="I536" s="6"/>
      <c r="J536" s="143"/>
      <c r="K536" s="143"/>
    </row>
    <row r="537" spans="1:11" ht="12.75" customHeight="1" hidden="1">
      <c r="A537" s="238" t="s">
        <v>26</v>
      </c>
      <c r="B537" s="237"/>
      <c r="C537" s="309">
        <v>412500</v>
      </c>
      <c r="D537" s="82" t="s">
        <v>399</v>
      </c>
      <c r="E537" s="143"/>
      <c r="F537" s="143"/>
      <c r="G537" s="139">
        <f t="shared" si="44"/>
        <v>0</v>
      </c>
      <c r="H537" s="382">
        <f t="shared" si="45"/>
        <v>0</v>
      </c>
      <c r="I537" s="6"/>
      <c r="J537" s="143"/>
      <c r="K537" s="143"/>
    </row>
    <row r="538" spans="1:11" ht="12.75">
      <c r="A538" s="238" t="s">
        <v>26</v>
      </c>
      <c r="B538" s="237"/>
      <c r="C538" s="309">
        <v>412700</v>
      </c>
      <c r="D538" s="123" t="s">
        <v>124</v>
      </c>
      <c r="E538" s="143">
        <v>800</v>
      </c>
      <c r="F538" s="143">
        <v>800</v>
      </c>
      <c r="G538" s="139">
        <f t="shared" si="44"/>
        <v>100</v>
      </c>
      <c r="H538" s="382">
        <f t="shared" si="45"/>
        <v>0.002625533311453889</v>
      </c>
      <c r="I538" s="6"/>
      <c r="J538" s="143">
        <v>800</v>
      </c>
      <c r="K538" s="143"/>
    </row>
    <row r="539" spans="1:11" ht="12.75">
      <c r="A539" s="238" t="s">
        <v>26</v>
      </c>
      <c r="B539" s="237"/>
      <c r="C539" s="309">
        <v>412900</v>
      </c>
      <c r="D539" s="123" t="s">
        <v>126</v>
      </c>
      <c r="E539" s="139">
        <v>500</v>
      </c>
      <c r="F539" s="139">
        <v>500</v>
      </c>
      <c r="G539" s="139">
        <f t="shared" si="44"/>
        <v>100</v>
      </c>
      <c r="H539" s="382">
        <f t="shared" si="45"/>
        <v>0.0016409583196586807</v>
      </c>
      <c r="I539" s="6"/>
      <c r="J539" s="139">
        <v>500</v>
      </c>
      <c r="K539" s="139"/>
    </row>
    <row r="540" spans="1:11" ht="12.75" hidden="1">
      <c r="A540" s="238" t="s">
        <v>26</v>
      </c>
      <c r="B540" s="237"/>
      <c r="C540" s="309">
        <v>412900</v>
      </c>
      <c r="D540" s="123" t="s">
        <v>544</v>
      </c>
      <c r="E540" s="139">
        <v>0</v>
      </c>
      <c r="F540" s="139"/>
      <c r="G540" s="139">
        <f t="shared" si="44"/>
        <v>0</v>
      </c>
      <c r="H540" s="382">
        <f t="shared" si="45"/>
        <v>0</v>
      </c>
      <c r="I540" s="6"/>
      <c r="J540" s="139">
        <v>0</v>
      </c>
      <c r="K540" s="139"/>
    </row>
    <row r="541" spans="1:11" ht="14.25" customHeight="1">
      <c r="A541" s="240"/>
      <c r="B541" s="47">
        <v>511000</v>
      </c>
      <c r="C541" s="123"/>
      <c r="D541" s="134" t="s">
        <v>133</v>
      </c>
      <c r="E541" s="136">
        <f>SUM(E542:E543)</f>
        <v>1500</v>
      </c>
      <c r="F541" s="136">
        <f>SUM(F542:F543)</f>
        <v>1500</v>
      </c>
      <c r="G541" s="136">
        <f t="shared" si="44"/>
        <v>100</v>
      </c>
      <c r="H541" s="172">
        <f t="shared" si="45"/>
        <v>0.004922874958976042</v>
      </c>
      <c r="I541" s="6"/>
      <c r="J541" s="136">
        <f>SUM(J542:J543)</f>
        <v>10000</v>
      </c>
      <c r="K541" s="136">
        <f>SUM(K542:K543)</f>
        <v>0</v>
      </c>
    </row>
    <row r="542" spans="1:11" ht="12.75" customHeight="1">
      <c r="A542" s="240" t="s">
        <v>26</v>
      </c>
      <c r="B542" s="237"/>
      <c r="C542" s="60">
        <v>511300</v>
      </c>
      <c r="D542" s="123" t="s">
        <v>519</v>
      </c>
      <c r="E542" s="186">
        <v>1500</v>
      </c>
      <c r="F542" s="186">
        <v>1500</v>
      </c>
      <c r="G542" s="139">
        <f t="shared" si="44"/>
        <v>100</v>
      </c>
      <c r="H542" s="382">
        <f t="shared" si="45"/>
        <v>0.004922874958976042</v>
      </c>
      <c r="I542" s="6"/>
      <c r="J542" s="186">
        <v>10000</v>
      </c>
      <c r="K542" s="186"/>
    </row>
    <row r="543" spans="1:11" ht="14.25" customHeight="1" hidden="1">
      <c r="A543" s="240" t="s">
        <v>26</v>
      </c>
      <c r="B543" s="237"/>
      <c r="C543" s="60">
        <v>511300</v>
      </c>
      <c r="D543" s="82" t="s">
        <v>440</v>
      </c>
      <c r="E543" s="139">
        <v>0</v>
      </c>
      <c r="F543" s="139">
        <v>0</v>
      </c>
      <c r="G543" s="136">
        <f t="shared" si="44"/>
        <v>0</v>
      </c>
      <c r="H543" s="172">
        <f t="shared" si="45"/>
        <v>0</v>
      </c>
      <c r="I543" s="6"/>
      <c r="J543" s="139">
        <v>0</v>
      </c>
      <c r="K543" s="139">
        <v>0</v>
      </c>
    </row>
    <row r="544" spans="1:11" ht="26.25" customHeight="1">
      <c r="A544" s="535"/>
      <c r="B544" s="536"/>
      <c r="C544" s="524" t="s">
        <v>335</v>
      </c>
      <c r="D544" s="525"/>
      <c r="E544" s="221">
        <f>E530+E532+E541</f>
        <v>10000</v>
      </c>
      <c r="F544" s="148">
        <f>F530+F532+F541</f>
        <v>10000</v>
      </c>
      <c r="G544" s="359">
        <f t="shared" si="44"/>
        <v>100</v>
      </c>
      <c r="H544" s="339">
        <f t="shared" si="45"/>
        <v>0.03281916639317361</v>
      </c>
      <c r="I544" s="6"/>
      <c r="J544" s="221">
        <f>J530+J532+J541</f>
        <v>18500</v>
      </c>
      <c r="K544" s="457">
        <f>K530+K532+K541</f>
        <v>20227</v>
      </c>
    </row>
    <row r="545" spans="1:11" ht="19.5" customHeight="1">
      <c r="A545" s="520"/>
      <c r="B545" s="521"/>
      <c r="C545" s="526" t="s">
        <v>512</v>
      </c>
      <c r="D545" s="534"/>
      <c r="E545" s="149"/>
      <c r="F545" s="149"/>
      <c r="G545" s="149"/>
      <c r="H545" s="150"/>
      <c r="I545" s="6"/>
      <c r="J545" s="149"/>
      <c r="K545" s="149"/>
    </row>
    <row r="546" spans="1:11" ht="24.75" customHeight="1">
      <c r="A546" s="520"/>
      <c r="B546" s="521"/>
      <c r="C546" s="534"/>
      <c r="D546" s="534"/>
      <c r="E546" s="153"/>
      <c r="F546" s="153"/>
      <c r="G546" s="153"/>
      <c r="H546" s="154"/>
      <c r="I546" s="6"/>
      <c r="J546" s="153"/>
      <c r="K546" s="153"/>
    </row>
    <row r="547" spans="1:11" ht="14.25" customHeight="1">
      <c r="A547" s="213"/>
      <c r="B547" s="47">
        <v>412000</v>
      </c>
      <c r="C547" s="60"/>
      <c r="D547" s="134" t="s">
        <v>117</v>
      </c>
      <c r="E547" s="136">
        <f>SUM(E548:E548)</f>
        <v>1000</v>
      </c>
      <c r="F547" s="136">
        <f>SUM(F548:F548)</f>
        <v>1000</v>
      </c>
      <c r="G547" s="136">
        <f aca="true" t="shared" si="46" ref="G547:G582">IF(E547&gt;0,F547/E547*100,0)</f>
        <v>100</v>
      </c>
      <c r="H547" s="172">
        <f aca="true" t="shared" si="47" ref="H547:H582">F547/$F$587*100</f>
        <v>0.0032819166393173614</v>
      </c>
      <c r="I547" s="6"/>
      <c r="J547" s="174">
        <f>SUM(J548:J548)</f>
        <v>1000</v>
      </c>
      <c r="K547" s="174">
        <f>SUM(K548:K548)</f>
        <v>0</v>
      </c>
    </row>
    <row r="548" spans="1:11" ht="27" customHeight="1">
      <c r="A548" s="120" t="s">
        <v>22</v>
      </c>
      <c r="B548" s="47"/>
      <c r="C548" s="82">
        <v>412900</v>
      </c>
      <c r="D548" s="87" t="s">
        <v>346</v>
      </c>
      <c r="E548" s="187">
        <v>1000</v>
      </c>
      <c r="F548" s="187">
        <v>1000</v>
      </c>
      <c r="G548" s="139">
        <f t="shared" si="46"/>
        <v>100</v>
      </c>
      <c r="H548" s="382">
        <f t="shared" si="47"/>
        <v>0.0032819166393173614</v>
      </c>
      <c r="I548" s="6"/>
      <c r="J548" s="187">
        <v>1000</v>
      </c>
      <c r="K548" s="187"/>
    </row>
    <row r="549" spans="1:11" ht="25.5">
      <c r="A549" s="120"/>
      <c r="B549" s="47">
        <v>413000</v>
      </c>
      <c r="C549" s="82"/>
      <c r="D549" s="134" t="s">
        <v>127</v>
      </c>
      <c r="E549" s="174">
        <f>E550+E553</f>
        <v>335000</v>
      </c>
      <c r="F549" s="136">
        <f>F550+F553</f>
        <v>294000</v>
      </c>
      <c r="G549" s="136">
        <f t="shared" si="46"/>
        <v>87.76119402985074</v>
      </c>
      <c r="H549" s="172">
        <f t="shared" si="47"/>
        <v>0.9648834919593042</v>
      </c>
      <c r="I549" s="6"/>
      <c r="J549" s="174">
        <f>J550+J553</f>
        <v>305000</v>
      </c>
      <c r="K549" s="174">
        <f>K550+K553</f>
        <v>0</v>
      </c>
    </row>
    <row r="550" spans="1:11" ht="25.5">
      <c r="A550" s="120"/>
      <c r="B550" s="47"/>
      <c r="C550" s="134"/>
      <c r="D550" s="134" t="s">
        <v>128</v>
      </c>
      <c r="E550" s="200">
        <f>SUM(E551:E552)</f>
        <v>285000</v>
      </c>
      <c r="F550" s="201">
        <f>SUM(F551:F552)</f>
        <v>194000</v>
      </c>
      <c r="G550" s="201">
        <f t="shared" si="46"/>
        <v>68.0701754385965</v>
      </c>
      <c r="H550" s="386">
        <f t="shared" si="47"/>
        <v>0.6366918280275681</v>
      </c>
      <c r="I550" s="6"/>
      <c r="J550" s="200">
        <f>SUM(J551:J552)</f>
        <v>305000</v>
      </c>
      <c r="K550" s="200">
        <f>SUM(K551:K552)</f>
        <v>0</v>
      </c>
    </row>
    <row r="551" spans="1:11" ht="12.75" customHeight="1">
      <c r="A551" s="120" t="s">
        <v>54</v>
      </c>
      <c r="B551" s="123"/>
      <c r="C551" s="71">
        <v>413300</v>
      </c>
      <c r="D551" s="82" t="s">
        <v>348</v>
      </c>
      <c r="E551" s="187">
        <v>125000</v>
      </c>
      <c r="F551" s="145">
        <v>94000</v>
      </c>
      <c r="G551" s="139">
        <f t="shared" si="46"/>
        <v>75.2</v>
      </c>
      <c r="H551" s="382">
        <f t="shared" si="47"/>
        <v>0.308500164095832</v>
      </c>
      <c r="I551" s="6"/>
      <c r="J551" s="187">
        <v>105000</v>
      </c>
      <c r="K551" s="187"/>
    </row>
    <row r="552" spans="1:11" ht="14.25" customHeight="1">
      <c r="A552" s="120" t="s">
        <v>54</v>
      </c>
      <c r="B552" s="123"/>
      <c r="C552" s="71">
        <v>413300</v>
      </c>
      <c r="D552" s="82" t="s">
        <v>570</v>
      </c>
      <c r="E552" s="187">
        <v>160000</v>
      </c>
      <c r="F552" s="145">
        <v>100000</v>
      </c>
      <c r="G552" s="139">
        <f t="shared" si="46"/>
        <v>62.5</v>
      </c>
      <c r="H552" s="382">
        <f t="shared" si="47"/>
        <v>0.32819166393173616</v>
      </c>
      <c r="I552" s="9"/>
      <c r="J552" s="187">
        <v>200000</v>
      </c>
      <c r="K552" s="187"/>
    </row>
    <row r="553" spans="1:11" ht="12" customHeight="1">
      <c r="A553" s="120"/>
      <c r="B553" s="47"/>
      <c r="C553" s="71"/>
      <c r="D553" s="134" t="s">
        <v>418</v>
      </c>
      <c r="E553" s="242">
        <f>SUM(E554:E555)</f>
        <v>50000</v>
      </c>
      <c r="F553" s="443">
        <f>SUM(F554:F555)</f>
        <v>100000</v>
      </c>
      <c r="G553" s="201">
        <f t="shared" si="46"/>
        <v>200</v>
      </c>
      <c r="H553" s="386">
        <f t="shared" si="47"/>
        <v>0.32819166393173616</v>
      </c>
      <c r="I553" s="317"/>
      <c r="J553" s="57">
        <f>SUM(J554:J555)</f>
        <v>0</v>
      </c>
      <c r="K553" s="57">
        <f>SUM(K554:K555)</f>
        <v>0</v>
      </c>
    </row>
    <row r="554" spans="1:11" ht="14.25" customHeight="1">
      <c r="A554" s="120" t="s">
        <v>54</v>
      </c>
      <c r="B554" s="123"/>
      <c r="C554" s="71">
        <v>413700</v>
      </c>
      <c r="D554" s="318" t="s">
        <v>650</v>
      </c>
      <c r="E554" s="319">
        <v>50000</v>
      </c>
      <c r="F554" s="487">
        <v>100000</v>
      </c>
      <c r="G554" s="139">
        <f t="shared" si="46"/>
        <v>200</v>
      </c>
      <c r="H554" s="382">
        <f t="shared" si="47"/>
        <v>0.32819166393173616</v>
      </c>
      <c r="I554" s="317"/>
      <c r="J554" s="319">
        <v>0</v>
      </c>
      <c r="K554" s="319"/>
    </row>
    <row r="555" spans="1:11" ht="27" customHeight="1" hidden="1">
      <c r="A555" s="120" t="s">
        <v>54</v>
      </c>
      <c r="B555" s="123"/>
      <c r="C555" s="60">
        <v>413700</v>
      </c>
      <c r="D555" s="116" t="s">
        <v>529</v>
      </c>
      <c r="E555" s="187">
        <v>0</v>
      </c>
      <c r="F555" s="187">
        <v>0</v>
      </c>
      <c r="G555" s="139">
        <f t="shared" si="46"/>
        <v>0</v>
      </c>
      <c r="H555" s="382">
        <f t="shared" si="47"/>
        <v>0</v>
      </c>
      <c r="I555" s="6"/>
      <c r="J555" s="187">
        <v>0</v>
      </c>
      <c r="K555" s="187"/>
    </row>
    <row r="556" spans="1:11" ht="24.75" customHeight="1">
      <c r="A556" s="120"/>
      <c r="B556" s="47">
        <v>418000</v>
      </c>
      <c r="C556" s="60"/>
      <c r="D556" s="134" t="s">
        <v>367</v>
      </c>
      <c r="E556" s="136">
        <f>SUM(E557)</f>
        <v>3400</v>
      </c>
      <c r="F556" s="136">
        <f>SUM(F557)</f>
        <v>53000</v>
      </c>
      <c r="G556" s="136">
        <f t="shared" si="46"/>
        <v>1558.8235294117646</v>
      </c>
      <c r="H556" s="172">
        <f t="shared" si="47"/>
        <v>0.17394158188382014</v>
      </c>
      <c r="I556" s="6"/>
      <c r="J556" s="136">
        <f>SUM(J557)</f>
        <v>3300</v>
      </c>
      <c r="K556" s="136">
        <f>SUM(K557)</f>
        <v>0</v>
      </c>
    </row>
    <row r="557" spans="1:11" ht="24.75" customHeight="1">
      <c r="A557" s="120"/>
      <c r="B557" s="47"/>
      <c r="C557" s="60"/>
      <c r="D557" s="134" t="s">
        <v>370</v>
      </c>
      <c r="E557" s="200">
        <f>SUM(E558:E559)</f>
        <v>3400</v>
      </c>
      <c r="F557" s="200">
        <f>SUM(F558:F559)</f>
        <v>53000</v>
      </c>
      <c r="G557" s="201">
        <f t="shared" si="46"/>
        <v>1558.8235294117646</v>
      </c>
      <c r="H557" s="386">
        <f t="shared" si="47"/>
        <v>0.17394158188382014</v>
      </c>
      <c r="I557" s="6"/>
      <c r="J557" s="200">
        <f>SUM(J558)</f>
        <v>3300</v>
      </c>
      <c r="K557" s="200">
        <f>SUM(K558)</f>
        <v>0</v>
      </c>
    </row>
    <row r="558" spans="1:11" ht="12.75" customHeight="1">
      <c r="A558" s="120" t="s">
        <v>54</v>
      </c>
      <c r="B558" s="123"/>
      <c r="C558" s="60">
        <v>418100</v>
      </c>
      <c r="D558" s="82" t="s">
        <v>651</v>
      </c>
      <c r="E558" s="145">
        <v>3400</v>
      </c>
      <c r="F558" s="145">
        <v>3000</v>
      </c>
      <c r="G558" s="139">
        <f t="shared" si="46"/>
        <v>88.23529411764706</v>
      </c>
      <c r="H558" s="382">
        <f t="shared" si="47"/>
        <v>0.009845749917952083</v>
      </c>
      <c r="I558" s="6"/>
      <c r="J558" s="145">
        <v>3300</v>
      </c>
      <c r="K558" s="145"/>
    </row>
    <row r="559" spans="1:11" ht="25.5">
      <c r="A559" s="120" t="s">
        <v>54</v>
      </c>
      <c r="B559" s="123"/>
      <c r="C559" s="60">
        <v>418100</v>
      </c>
      <c r="D559" s="82" t="s">
        <v>659</v>
      </c>
      <c r="E559" s="145">
        <v>0</v>
      </c>
      <c r="F559" s="145">
        <v>50000</v>
      </c>
      <c r="G559" s="139">
        <f>IF(E559&gt;0,F559/E559*100,0)</f>
        <v>0</v>
      </c>
      <c r="H559" s="382">
        <f t="shared" si="47"/>
        <v>0.16409583196586808</v>
      </c>
      <c r="I559" s="6"/>
      <c r="J559" s="145"/>
      <c r="K559" s="145"/>
    </row>
    <row r="560" spans="1:11" ht="15.75" customHeight="1">
      <c r="A560" s="120"/>
      <c r="B560" s="47">
        <v>487000</v>
      </c>
      <c r="C560" s="60"/>
      <c r="D560" s="134" t="s">
        <v>319</v>
      </c>
      <c r="E560" s="174">
        <f>E561+E565</f>
        <v>15500</v>
      </c>
      <c r="F560" s="136">
        <f>F561+F565</f>
        <v>29000</v>
      </c>
      <c r="G560" s="136">
        <f t="shared" si="46"/>
        <v>187.09677419354838</v>
      </c>
      <c r="H560" s="172">
        <f t="shared" si="47"/>
        <v>0.09517558254020347</v>
      </c>
      <c r="I560" s="6"/>
      <c r="J560" s="174">
        <f>J561+J565</f>
        <v>15500</v>
      </c>
      <c r="K560" s="174">
        <f>K561+K565</f>
        <v>0</v>
      </c>
    </row>
    <row r="561" spans="1:11" ht="28.5" customHeight="1">
      <c r="A561" s="120"/>
      <c r="B561" s="47"/>
      <c r="C561" s="60"/>
      <c r="D561" s="86" t="s">
        <v>347</v>
      </c>
      <c r="E561" s="200">
        <f>SUM(E562:E564)</f>
        <v>12000</v>
      </c>
      <c r="F561" s="201">
        <f>SUM(F562:F564)</f>
        <v>23000</v>
      </c>
      <c r="G561" s="201">
        <f t="shared" si="46"/>
        <v>191.66666666666669</v>
      </c>
      <c r="H561" s="386">
        <f t="shared" si="47"/>
        <v>0.07548408270429931</v>
      </c>
      <c r="I561" s="6"/>
      <c r="J561" s="200">
        <f>SUM(J562:J564)</f>
        <v>12000</v>
      </c>
      <c r="K561" s="200">
        <f>SUM(K562:K564)</f>
        <v>0</v>
      </c>
    </row>
    <row r="562" spans="1:11" ht="12.75">
      <c r="A562" s="120" t="s">
        <v>34</v>
      </c>
      <c r="B562" s="123"/>
      <c r="C562" s="60">
        <v>487200</v>
      </c>
      <c r="D562" s="82" t="s">
        <v>331</v>
      </c>
      <c r="E562" s="143">
        <v>6000</v>
      </c>
      <c r="F562" s="143">
        <v>10000</v>
      </c>
      <c r="G562" s="139">
        <f t="shared" si="46"/>
        <v>166.66666666666669</v>
      </c>
      <c r="H562" s="382">
        <f t="shared" si="47"/>
        <v>0.03281916639317361</v>
      </c>
      <c r="I562" s="6"/>
      <c r="J562" s="143">
        <v>6000</v>
      </c>
      <c r="K562" s="143"/>
    </row>
    <row r="563" spans="1:11" ht="12.75">
      <c r="A563" s="120" t="s">
        <v>34</v>
      </c>
      <c r="B563" s="123"/>
      <c r="C563" s="60">
        <v>487300</v>
      </c>
      <c r="D563" s="82" t="s">
        <v>328</v>
      </c>
      <c r="E563" s="143">
        <v>3000</v>
      </c>
      <c r="F563" s="143">
        <v>10000</v>
      </c>
      <c r="G563" s="139">
        <f t="shared" si="46"/>
        <v>333.33333333333337</v>
      </c>
      <c r="H563" s="382">
        <f t="shared" si="47"/>
        <v>0.03281916639317361</v>
      </c>
      <c r="I563" s="6"/>
      <c r="J563" s="143">
        <v>3000</v>
      </c>
      <c r="K563" s="143"/>
    </row>
    <row r="564" spans="1:11" ht="12.75" customHeight="1">
      <c r="A564" s="120" t="s">
        <v>34</v>
      </c>
      <c r="B564" s="123"/>
      <c r="C564" s="60">
        <v>487400</v>
      </c>
      <c r="D564" s="82" t="s">
        <v>306</v>
      </c>
      <c r="E564" s="143">
        <v>3000</v>
      </c>
      <c r="F564" s="143">
        <v>3000</v>
      </c>
      <c r="G564" s="139">
        <f t="shared" si="46"/>
        <v>100</v>
      </c>
      <c r="H564" s="382">
        <f t="shared" si="47"/>
        <v>0.009845749917952083</v>
      </c>
      <c r="I564" s="6"/>
      <c r="J564" s="143">
        <v>3000</v>
      </c>
      <c r="K564" s="143"/>
    </row>
    <row r="565" spans="1:11" ht="12.75">
      <c r="A565" s="120"/>
      <c r="B565" s="123"/>
      <c r="C565" s="60"/>
      <c r="D565" s="134" t="s">
        <v>318</v>
      </c>
      <c r="E565" s="201">
        <f>SUM(E566)</f>
        <v>3500</v>
      </c>
      <c r="F565" s="201">
        <f>SUM(F566)</f>
        <v>6000</v>
      </c>
      <c r="G565" s="201">
        <f t="shared" si="46"/>
        <v>171.42857142857142</v>
      </c>
      <c r="H565" s="386">
        <f t="shared" si="47"/>
        <v>0.019691499835904167</v>
      </c>
      <c r="I565" s="6"/>
      <c r="J565" s="201">
        <f>SUM(J566)</f>
        <v>3500</v>
      </c>
      <c r="K565" s="201">
        <f>SUM(K566)</f>
        <v>0</v>
      </c>
    </row>
    <row r="566" spans="1:11" ht="24" customHeight="1">
      <c r="A566" s="120" t="s">
        <v>34</v>
      </c>
      <c r="B566" s="123"/>
      <c r="C566" s="60">
        <v>487900</v>
      </c>
      <c r="D566" s="82" t="s">
        <v>366</v>
      </c>
      <c r="E566" s="145">
        <v>3500</v>
      </c>
      <c r="F566" s="145">
        <v>6000</v>
      </c>
      <c r="G566" s="139">
        <f t="shared" si="46"/>
        <v>171.42857142857142</v>
      </c>
      <c r="H566" s="382">
        <f t="shared" si="47"/>
        <v>0.019691499835904167</v>
      </c>
      <c r="I566" s="6"/>
      <c r="J566" s="145">
        <v>3500</v>
      </c>
      <c r="K566" s="145"/>
    </row>
    <row r="567" spans="1:11" ht="13.5" customHeight="1">
      <c r="A567" s="120"/>
      <c r="B567" s="84">
        <v>621000</v>
      </c>
      <c r="C567" s="60"/>
      <c r="D567" s="134" t="s">
        <v>137</v>
      </c>
      <c r="E567" s="140">
        <f>E568+E571</f>
        <v>1632000</v>
      </c>
      <c r="F567" s="136">
        <f>F568+F571</f>
        <v>1265000</v>
      </c>
      <c r="G567" s="136">
        <f t="shared" si="46"/>
        <v>77.51225490196079</v>
      </c>
      <c r="H567" s="172">
        <f t="shared" si="47"/>
        <v>4.1516245487364625</v>
      </c>
      <c r="I567" s="6"/>
      <c r="J567" s="140">
        <f>J568+J571</f>
        <v>1375000</v>
      </c>
      <c r="K567" s="174">
        <f>K568+K571</f>
        <v>0</v>
      </c>
    </row>
    <row r="568" spans="1:11" ht="25.5">
      <c r="A568" s="120"/>
      <c r="B568" s="84"/>
      <c r="C568" s="60"/>
      <c r="D568" s="134" t="s">
        <v>144</v>
      </c>
      <c r="E568" s="200">
        <f>SUM(E569:E570)</f>
        <v>1547000</v>
      </c>
      <c r="F568" s="201">
        <f>SUM(F569:F570)</f>
        <v>1180000</v>
      </c>
      <c r="G568" s="201">
        <f t="shared" si="46"/>
        <v>76.27666451195863</v>
      </c>
      <c r="H568" s="386">
        <f t="shared" si="47"/>
        <v>3.872661634394486</v>
      </c>
      <c r="I568" s="6"/>
      <c r="J568" s="200">
        <f>SUM(J569:J570)</f>
        <v>1350000</v>
      </c>
      <c r="K568" s="200">
        <f>SUM(K569:K570)</f>
        <v>0</v>
      </c>
    </row>
    <row r="569" spans="1:11" ht="14.25" customHeight="1">
      <c r="A569" s="120"/>
      <c r="B569" s="47"/>
      <c r="C569" s="90">
        <v>621300</v>
      </c>
      <c r="D569" s="87" t="s">
        <v>349</v>
      </c>
      <c r="E569" s="187">
        <v>940000</v>
      </c>
      <c r="F569" s="187">
        <v>970000</v>
      </c>
      <c r="G569" s="139">
        <f t="shared" si="46"/>
        <v>103.19148936170212</v>
      </c>
      <c r="H569" s="382">
        <f t="shared" si="47"/>
        <v>3.1834591401378405</v>
      </c>
      <c r="I569" s="6"/>
      <c r="J569" s="187">
        <v>930000</v>
      </c>
      <c r="K569" s="187"/>
    </row>
    <row r="570" spans="1:11" ht="15" customHeight="1">
      <c r="A570" s="120"/>
      <c r="B570" s="47"/>
      <c r="C570" s="90">
        <v>621300</v>
      </c>
      <c r="D570" s="87" t="s">
        <v>571</v>
      </c>
      <c r="E570" s="187">
        <v>607000</v>
      </c>
      <c r="F570" s="145">
        <v>210000</v>
      </c>
      <c r="G570" s="139">
        <f t="shared" si="46"/>
        <v>34.596375617792425</v>
      </c>
      <c r="H570" s="382">
        <f t="shared" si="47"/>
        <v>0.6892024942566459</v>
      </c>
      <c r="I570" s="6"/>
      <c r="J570" s="187">
        <v>420000</v>
      </c>
      <c r="K570" s="187">
        <v>0</v>
      </c>
    </row>
    <row r="571" spans="1:11" ht="12.75">
      <c r="A571" s="120"/>
      <c r="B571" s="47"/>
      <c r="C571" s="90"/>
      <c r="D571" s="86" t="s">
        <v>273</v>
      </c>
      <c r="E571" s="242">
        <f>E572</f>
        <v>85000</v>
      </c>
      <c r="F571" s="443">
        <f>F572</f>
        <v>85000</v>
      </c>
      <c r="G571" s="201">
        <f t="shared" si="46"/>
        <v>100</v>
      </c>
      <c r="H571" s="386">
        <f t="shared" si="47"/>
        <v>0.27896291434197573</v>
      </c>
      <c r="I571" s="6"/>
      <c r="J571" s="242">
        <f>J572</f>
        <v>25000</v>
      </c>
      <c r="K571" s="242">
        <f>K572</f>
        <v>0</v>
      </c>
    </row>
    <row r="572" spans="1:11" ht="14.25" customHeight="1">
      <c r="A572" s="120"/>
      <c r="B572" s="47"/>
      <c r="C572" s="90">
        <v>621900</v>
      </c>
      <c r="D572" s="87" t="s">
        <v>278</v>
      </c>
      <c r="E572" s="145">
        <v>85000</v>
      </c>
      <c r="F572" s="145">
        <v>85000</v>
      </c>
      <c r="G572" s="139">
        <f t="shared" si="46"/>
        <v>100</v>
      </c>
      <c r="H572" s="382">
        <f t="shared" si="47"/>
        <v>0.27896291434197573</v>
      </c>
      <c r="I572" s="6"/>
      <c r="J572" s="145">
        <v>25000</v>
      </c>
      <c r="K572" s="145"/>
    </row>
    <row r="573" spans="1:11" ht="25.5">
      <c r="A573" s="120"/>
      <c r="B573" s="47">
        <v>628000</v>
      </c>
      <c r="C573" s="90"/>
      <c r="D573" s="86" t="s">
        <v>368</v>
      </c>
      <c r="E573" s="140">
        <f>SUM(E574)</f>
        <v>180000</v>
      </c>
      <c r="F573" s="136">
        <f>SUM(F574)</f>
        <v>180000</v>
      </c>
      <c r="G573" s="136">
        <f t="shared" si="46"/>
        <v>100</v>
      </c>
      <c r="H573" s="172">
        <f t="shared" si="47"/>
        <v>0.5907449950771251</v>
      </c>
      <c r="I573" s="6"/>
      <c r="J573" s="140">
        <f>SUM(J574)</f>
        <v>180000</v>
      </c>
      <c r="K573" s="174">
        <f>SUM(K574)</f>
        <v>0</v>
      </c>
    </row>
    <row r="574" spans="1:11" ht="25.5">
      <c r="A574" s="120"/>
      <c r="B574" s="47"/>
      <c r="C574" s="90"/>
      <c r="D574" s="86" t="s">
        <v>369</v>
      </c>
      <c r="E574" s="200">
        <f>SUM(E575)</f>
        <v>180000</v>
      </c>
      <c r="F574" s="201">
        <f>SUM(F575)</f>
        <v>180000</v>
      </c>
      <c r="G574" s="201">
        <f t="shared" si="46"/>
        <v>100</v>
      </c>
      <c r="H574" s="386">
        <f t="shared" si="47"/>
        <v>0.5907449950771251</v>
      </c>
      <c r="I574" s="6"/>
      <c r="J574" s="200">
        <f>SUM(J575)</f>
        <v>180000</v>
      </c>
      <c r="K574" s="200">
        <f>SUM(K575)</f>
        <v>0</v>
      </c>
    </row>
    <row r="575" spans="1:11" ht="12" customHeight="1">
      <c r="A575" s="120"/>
      <c r="B575" s="47"/>
      <c r="C575" s="90">
        <v>628100</v>
      </c>
      <c r="D575" s="87" t="s">
        <v>329</v>
      </c>
      <c r="E575" s="145">
        <v>180000</v>
      </c>
      <c r="F575" s="145">
        <v>180000</v>
      </c>
      <c r="G575" s="139">
        <f t="shared" si="46"/>
        <v>100</v>
      </c>
      <c r="H575" s="382">
        <f t="shared" si="47"/>
        <v>0.5907449950771251</v>
      </c>
      <c r="I575" s="6"/>
      <c r="J575" s="145">
        <v>180000</v>
      </c>
      <c r="K575" s="145"/>
    </row>
    <row r="576" spans="1:11" ht="12.75">
      <c r="A576" s="120"/>
      <c r="B576" s="84">
        <v>631000</v>
      </c>
      <c r="C576" s="90"/>
      <c r="D576" s="134" t="s">
        <v>296</v>
      </c>
      <c r="E576" s="140">
        <f>SUM(E577:E579)</f>
        <v>44600</v>
      </c>
      <c r="F576" s="136">
        <f>SUM(F577:F579)</f>
        <v>82000</v>
      </c>
      <c r="G576" s="136">
        <f t="shared" si="46"/>
        <v>183.85650224215246</v>
      </c>
      <c r="H576" s="172">
        <f t="shared" si="47"/>
        <v>0.2691171644240236</v>
      </c>
      <c r="I576" s="6"/>
      <c r="J576" s="140">
        <f>SUM(J577:J579)</f>
        <v>35000</v>
      </c>
      <c r="K576" s="174">
        <f>SUM(K577:K579)</f>
        <v>0</v>
      </c>
    </row>
    <row r="577" spans="1:11" ht="12.75">
      <c r="A577" s="120"/>
      <c r="B577" s="84"/>
      <c r="C577" s="90">
        <v>631300</v>
      </c>
      <c r="D577" s="82" t="s">
        <v>393</v>
      </c>
      <c r="E577" s="145">
        <v>39600</v>
      </c>
      <c r="F577" s="145">
        <v>65000</v>
      </c>
      <c r="G577" s="139">
        <f t="shared" si="46"/>
        <v>164.14141414141415</v>
      </c>
      <c r="H577" s="382">
        <f t="shared" si="47"/>
        <v>0.2133245815556285</v>
      </c>
      <c r="I577" s="312"/>
      <c r="J577" s="145">
        <v>30000</v>
      </c>
      <c r="K577" s="145"/>
    </row>
    <row r="578" spans="1:11" ht="12.75" hidden="1">
      <c r="A578" s="120"/>
      <c r="B578" s="84"/>
      <c r="C578" s="90">
        <v>631300</v>
      </c>
      <c r="D578" s="82" t="s">
        <v>545</v>
      </c>
      <c r="E578" s="145">
        <v>0</v>
      </c>
      <c r="F578" s="145"/>
      <c r="G578" s="139">
        <f t="shared" si="46"/>
        <v>0</v>
      </c>
      <c r="H578" s="382">
        <f t="shared" si="47"/>
        <v>0</v>
      </c>
      <c r="I578" s="312"/>
      <c r="J578" s="145">
        <v>0</v>
      </c>
      <c r="K578" s="145"/>
    </row>
    <row r="579" spans="1:11" ht="25.5">
      <c r="A579" s="120"/>
      <c r="B579" s="84"/>
      <c r="C579" s="90">
        <v>631900</v>
      </c>
      <c r="D579" s="82" t="s">
        <v>340</v>
      </c>
      <c r="E579" s="187">
        <v>5000</v>
      </c>
      <c r="F579" s="145">
        <v>17000</v>
      </c>
      <c r="G579" s="139">
        <f t="shared" si="46"/>
        <v>340</v>
      </c>
      <c r="H579" s="382">
        <f t="shared" si="47"/>
        <v>0.05579258286839515</v>
      </c>
      <c r="I579" s="313"/>
      <c r="J579" s="187">
        <v>5000</v>
      </c>
      <c r="K579" s="187"/>
    </row>
    <row r="580" spans="1:11" ht="14.25" customHeight="1">
      <c r="A580" s="120"/>
      <c r="B580" s="47">
        <v>638000</v>
      </c>
      <c r="C580" s="90"/>
      <c r="D580" s="86" t="s">
        <v>330</v>
      </c>
      <c r="E580" s="140">
        <f>E581</f>
        <v>4500</v>
      </c>
      <c r="F580" s="136">
        <f>F581</f>
        <v>14545</v>
      </c>
      <c r="G580" s="136">
        <f t="shared" si="46"/>
        <v>323.22222222222223</v>
      </c>
      <c r="H580" s="172">
        <f t="shared" si="47"/>
        <v>0.04773547751887102</v>
      </c>
      <c r="I580" s="313"/>
      <c r="J580" s="140">
        <f>J581</f>
        <v>3000</v>
      </c>
      <c r="K580" s="174">
        <f>K581</f>
        <v>0</v>
      </c>
    </row>
    <row r="581" spans="1:11" ht="24.75" customHeight="1">
      <c r="A581" s="120"/>
      <c r="B581" s="47"/>
      <c r="C581" s="90">
        <v>638100</v>
      </c>
      <c r="D581" s="87" t="s">
        <v>339</v>
      </c>
      <c r="E581" s="145">
        <v>4500</v>
      </c>
      <c r="F581" s="145">
        <v>14545</v>
      </c>
      <c r="G581" s="139">
        <f t="shared" si="46"/>
        <v>323.22222222222223</v>
      </c>
      <c r="H581" s="382">
        <f t="shared" si="47"/>
        <v>0.04773547751887102</v>
      </c>
      <c r="I581" s="314"/>
      <c r="J581" s="145">
        <v>3000</v>
      </c>
      <c r="K581" s="145"/>
    </row>
    <row r="582" spans="1:11" ht="27.75" customHeight="1">
      <c r="A582" s="530"/>
      <c r="B582" s="531"/>
      <c r="C582" s="524" t="s">
        <v>195</v>
      </c>
      <c r="D582" s="524"/>
      <c r="E582" s="158">
        <f>E547+E549+E556+E560+E567+E573+E576+E580</f>
        <v>2216000</v>
      </c>
      <c r="F582" s="439">
        <f>F547+F549+F556+F560+F567+F573+F576+F580</f>
        <v>1918545</v>
      </c>
      <c r="G582" s="359">
        <f t="shared" si="46"/>
        <v>86.576940433213</v>
      </c>
      <c r="H582" s="339">
        <f t="shared" si="47"/>
        <v>6.296504758779127</v>
      </c>
      <c r="I582" s="6"/>
      <c r="J582" s="158">
        <f>J547+J549+J556+J560+J567+J573+J576+J580</f>
        <v>1917800</v>
      </c>
      <c r="K582" s="440">
        <f>K547+K549+K556+K560+K567+K573+K576+K580</f>
        <v>0</v>
      </c>
    </row>
    <row r="583" spans="1:11" ht="19.5" customHeight="1">
      <c r="A583" s="522"/>
      <c r="B583" s="523"/>
      <c r="C583" s="526" t="s">
        <v>611</v>
      </c>
      <c r="D583" s="534"/>
      <c r="E583" s="177"/>
      <c r="F583" s="177"/>
      <c r="G583" s="177"/>
      <c r="H583" s="178"/>
      <c r="I583" s="6"/>
      <c r="J583" s="177"/>
      <c r="K583" s="177"/>
    </row>
    <row r="584" spans="1:11" ht="8.25" customHeight="1">
      <c r="A584" s="522"/>
      <c r="B584" s="523"/>
      <c r="C584" s="534"/>
      <c r="D584" s="534"/>
      <c r="E584" s="243"/>
      <c r="F584" s="243"/>
      <c r="G584" s="243"/>
      <c r="H584" s="244"/>
      <c r="I584" s="6"/>
      <c r="J584" s="243"/>
      <c r="K584" s="243"/>
    </row>
    <row r="585" spans="1:11" ht="12.75" customHeight="1">
      <c r="A585" s="522"/>
      <c r="B585" s="523"/>
      <c r="C585" s="245" t="s">
        <v>184</v>
      </c>
      <c r="D585" s="69" t="s">
        <v>93</v>
      </c>
      <c r="E585" s="239">
        <v>210000</v>
      </c>
      <c r="F585" s="143">
        <v>230000</v>
      </c>
      <c r="G585" s="143">
        <f>IF(E585&gt;0,F585/E585*100,0)</f>
        <v>109.52380952380953</v>
      </c>
      <c r="H585" s="246">
        <f>F585/$F$587*100</f>
        <v>0.7548408270429932</v>
      </c>
      <c r="I585" s="6"/>
      <c r="J585" s="239">
        <v>210000</v>
      </c>
      <c r="K585" s="142"/>
    </row>
    <row r="586" spans="1:11" ht="25.5" customHeight="1">
      <c r="A586" s="522"/>
      <c r="B586" s="523"/>
      <c r="C586" s="524" t="s">
        <v>170</v>
      </c>
      <c r="D586" s="525"/>
      <c r="E586" s="158">
        <f>E585</f>
        <v>210000</v>
      </c>
      <c r="F586" s="439">
        <f>F585</f>
        <v>230000</v>
      </c>
      <c r="G586" s="148">
        <f>IF(E586&gt;0,F586/E586*100,0)</f>
        <v>109.52380952380953</v>
      </c>
      <c r="H586" s="176">
        <f>F586/$F$587*100</f>
        <v>0.7548408270429932</v>
      </c>
      <c r="I586" s="6"/>
      <c r="J586" s="158">
        <f>J585</f>
        <v>210000</v>
      </c>
      <c r="K586" s="440">
        <f>K585</f>
        <v>0</v>
      </c>
    </row>
    <row r="587" spans="1:11" ht="24" customHeight="1" thickBot="1">
      <c r="A587" s="528" t="s">
        <v>191</v>
      </c>
      <c r="B587" s="529"/>
      <c r="C587" s="532" t="s">
        <v>196</v>
      </c>
      <c r="D587" s="533"/>
      <c r="E587" s="247">
        <f>E21+E40+E59+E72+E88+E106+E168+E181+E243+E272+E285+E303+E315+E337+E383+E409+E450+E469+E492+E517+E527+E544+E582+E586</f>
        <v>27920000</v>
      </c>
      <c r="F587" s="247">
        <f>F21+F40+F59+F72+F88+F106+F168+F181+F243+F272+F285+F303+F315+F337+F383+F409+F450+F469+F492+F517+F527+F544+F582+F586</f>
        <v>30470000</v>
      </c>
      <c r="G587" s="248">
        <f>IF(E587&gt;0,F587/E587*100,0)</f>
        <v>109.13323782234956</v>
      </c>
      <c r="H587" s="249">
        <f>F587/$F$587*100</f>
        <v>100</v>
      </c>
      <c r="I587" s="8"/>
      <c r="J587" s="247" t="e">
        <f>J21+J40+J59+J72+J88+J106+J168+J181+J243+J272+J285+J303+J315+J337+J383+J409+J450+J469+J492+J517+J527+J544+J582+J586</f>
        <v>#REF!</v>
      </c>
      <c r="K587" s="462" t="e">
        <f>K21+K40+K59+K72+K88+K106+K168+K181+K243+K272+K285+K303+K315+K337+K383+K409+K450+K469+K492+K517+K527+K544+K582+K586</f>
        <v>#REF!</v>
      </c>
    </row>
    <row r="588" spans="1:11" ht="39.75" customHeight="1" thickTop="1">
      <c r="A588" s="27"/>
      <c r="B588" s="27"/>
      <c r="C588" s="29"/>
      <c r="D588" s="29"/>
      <c r="E588" s="30"/>
      <c r="F588" s="30"/>
      <c r="G588" s="30"/>
      <c r="H588" s="31"/>
      <c r="I588" s="8"/>
      <c r="J588" s="1" t="e">
        <f>J587+K587</f>
        <v>#REF!</v>
      </c>
      <c r="K588" s="10"/>
    </row>
    <row r="589" spans="1:11" ht="14.25" customHeight="1">
      <c r="A589" s="27"/>
      <c r="B589" s="27"/>
      <c r="C589" s="29"/>
      <c r="D589" s="29"/>
      <c r="E589" s="30"/>
      <c r="F589" s="30"/>
      <c r="G589" s="30"/>
      <c r="H589" s="31"/>
      <c r="I589" s="8"/>
      <c r="J589" s="1"/>
      <c r="K589" s="10"/>
    </row>
    <row r="590" spans="4:11" ht="21.75" customHeight="1" hidden="1">
      <c r="D590" s="374" t="s">
        <v>531</v>
      </c>
      <c r="E590" s="375">
        <f>'B.pr. i prim. za nef. im.'!D110+Finansiranje!C6+Finansiranje!C11+Finansiranje!C24+Finansiranje!C38</f>
        <v>27920000</v>
      </c>
      <c r="F590" s="375"/>
      <c r="K590" s="10"/>
    </row>
    <row r="591" spans="4:11" ht="32.25" customHeight="1" hidden="1">
      <c r="D591" s="374" t="s">
        <v>532</v>
      </c>
      <c r="E591" s="375">
        <f>E590-E587</f>
        <v>0</v>
      </c>
      <c r="F591" s="375"/>
      <c r="K591" s="10"/>
    </row>
    <row r="592" spans="5:6" ht="36.75" customHeight="1">
      <c r="E592" s="1"/>
      <c r="F592" s="1"/>
    </row>
  </sheetData>
  <sheetProtection/>
  <mergeCells count="101">
    <mergeCell ref="C21:D21"/>
    <mergeCell ref="A89:B91"/>
    <mergeCell ref="C106:D106"/>
    <mergeCell ref="A107:B110"/>
    <mergeCell ref="A168:B168"/>
    <mergeCell ref="C89:D91"/>
    <mergeCell ref="C40:D40"/>
    <mergeCell ref="A72:B72"/>
    <mergeCell ref="A88:B88"/>
    <mergeCell ref="C41:D43"/>
    <mergeCell ref="J2:J3"/>
    <mergeCell ref="K2:K3"/>
    <mergeCell ref="C527:D527"/>
    <mergeCell ref="C518:D518"/>
    <mergeCell ref="C493:D494"/>
    <mergeCell ref="C492:D492"/>
    <mergeCell ref="C410:D410"/>
    <mergeCell ref="C59:D59"/>
    <mergeCell ref="C304:D306"/>
    <mergeCell ref="C181:D181"/>
    <mergeCell ref="C22:D24"/>
    <mergeCell ref="A22:B24"/>
    <mergeCell ref="A40:B40"/>
    <mergeCell ref="C73:D75"/>
    <mergeCell ref="C60:D62"/>
    <mergeCell ref="A181:B181"/>
    <mergeCell ref="C107:D110"/>
    <mergeCell ref="C88:D88"/>
    <mergeCell ref="A243:B243"/>
    <mergeCell ref="A244:B247"/>
    <mergeCell ref="A106:B106"/>
    <mergeCell ref="A182:B185"/>
    <mergeCell ref="A60:B62"/>
    <mergeCell ref="A73:B75"/>
    <mergeCell ref="A21:B21"/>
    <mergeCell ref="C243:D243"/>
    <mergeCell ref="C470:D471"/>
    <mergeCell ref="A409:B409"/>
    <mergeCell ref="C315:D315"/>
    <mergeCell ref="C72:D72"/>
    <mergeCell ref="A59:B59"/>
    <mergeCell ref="A272:B272"/>
    <mergeCell ref="A383:B383"/>
    <mergeCell ref="C451:D453"/>
    <mergeCell ref="A1:H1"/>
    <mergeCell ref="A2:A3"/>
    <mergeCell ref="B2:C2"/>
    <mergeCell ref="D2:D3"/>
    <mergeCell ref="H2:H3"/>
    <mergeCell ref="C5:D7"/>
    <mergeCell ref="F2:F3"/>
    <mergeCell ref="G2:G3"/>
    <mergeCell ref="A5:B7"/>
    <mergeCell ref="E2:E3"/>
    <mergeCell ref="C528:D529"/>
    <mergeCell ref="C168:D168"/>
    <mergeCell ref="C244:D247"/>
    <mergeCell ref="C182:D185"/>
    <mergeCell ref="C169:D171"/>
    <mergeCell ref="A169:B171"/>
    <mergeCell ref="C286:D287"/>
    <mergeCell ref="A337:B337"/>
    <mergeCell ref="C273:D275"/>
    <mergeCell ref="C285:D285"/>
    <mergeCell ref="C544:D544"/>
    <mergeCell ref="A492:B492"/>
    <mergeCell ref="C517:D517"/>
    <mergeCell ref="C586:D586"/>
    <mergeCell ref="A586:B586"/>
    <mergeCell ref="A517:B517"/>
    <mergeCell ref="C583:D584"/>
    <mergeCell ref="A585:B585"/>
    <mergeCell ref="A544:B544"/>
    <mergeCell ref="A493:B494"/>
    <mergeCell ref="A583:B584"/>
    <mergeCell ref="C383:D383"/>
    <mergeCell ref="C469:D469"/>
    <mergeCell ref="C582:D582"/>
    <mergeCell ref="A470:B471"/>
    <mergeCell ref="A587:B587"/>
    <mergeCell ref="A582:B582"/>
    <mergeCell ref="C587:D587"/>
    <mergeCell ref="C545:D546"/>
    <mergeCell ref="A527:B527"/>
    <mergeCell ref="C450:D450"/>
    <mergeCell ref="C384:D386"/>
    <mergeCell ref="C409:D409"/>
    <mergeCell ref="A451:B453"/>
    <mergeCell ref="A303:B303"/>
    <mergeCell ref="A285:B285"/>
    <mergeCell ref="C338:D340"/>
    <mergeCell ref="A469:B469"/>
    <mergeCell ref="A338:B340"/>
    <mergeCell ref="A273:B275"/>
    <mergeCell ref="C272:D272"/>
    <mergeCell ref="A316:B318"/>
    <mergeCell ref="A545:B546"/>
    <mergeCell ref="C337:D337"/>
    <mergeCell ref="C316:D318"/>
    <mergeCell ref="A518:B518"/>
    <mergeCell ref="C303:D303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3"/>
  <headerFooter alignWithMargins="0">
    <oddFooter>&amp;R&amp;P</oddFooter>
  </headerFooter>
  <rowBreaks count="17" manualBreakCount="17">
    <brk id="40" max="7" man="1"/>
    <brk id="71" max="7" man="1"/>
    <brk id="100" max="7" man="1"/>
    <brk id="144" max="7" man="1"/>
    <brk id="173" max="7" man="1"/>
    <brk id="197" max="7" man="1"/>
    <brk id="232" max="7" man="1"/>
    <brk id="265" max="7" man="1"/>
    <brk id="295" max="7" man="1"/>
    <brk id="353" max="7" man="1"/>
    <brk id="383" max="7" man="1"/>
    <brk id="409" max="7" man="1"/>
    <brk id="448" max="7" man="1"/>
    <brk id="475" max="7" man="1"/>
    <brk id="505" max="7" man="1"/>
    <brk id="531" max="7" man="1"/>
    <brk id="587" max="7" man="1"/>
  </rowBreaks>
  <colBreaks count="1" manualBreakCount="1">
    <brk id="8" max="60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28125" style="0" customWidth="1"/>
    <col min="2" max="2" width="49.00390625" style="0" customWidth="1"/>
    <col min="3" max="3" width="19.00390625" style="0" hidden="1" customWidth="1"/>
    <col min="4" max="5" width="17.421875" style="0" customWidth="1"/>
    <col min="6" max="6" width="12.421875" style="0" customWidth="1"/>
    <col min="7" max="7" width="10.8515625" style="0" customWidth="1"/>
    <col min="8" max="8" width="13.7109375" style="0" customWidth="1"/>
    <col min="9" max="9" width="14.140625" style="0" customWidth="1"/>
    <col min="10" max="10" width="13.7109375" style="0" customWidth="1"/>
    <col min="11" max="11" width="13.8515625" style="0" customWidth="1"/>
    <col min="12" max="12" width="14.7109375" style="0" customWidth="1"/>
  </cols>
  <sheetData>
    <row r="1" spans="1:7" ht="43.5" customHeight="1">
      <c r="A1" s="568" t="s">
        <v>628</v>
      </c>
      <c r="B1" s="569"/>
      <c r="C1" s="569"/>
      <c r="D1" s="569"/>
      <c r="E1" s="569"/>
      <c r="F1" s="569"/>
      <c r="G1" s="569"/>
    </row>
    <row r="2" spans="1:7" ht="16.5" customHeight="1" thickBot="1">
      <c r="A2" s="570" t="s">
        <v>356</v>
      </c>
      <c r="B2" s="571"/>
      <c r="C2" s="37"/>
      <c r="D2" s="37"/>
      <c r="E2" s="37"/>
      <c r="F2" s="37"/>
      <c r="G2" s="37"/>
    </row>
    <row r="3" spans="1:7" ht="60" customHeight="1" thickTop="1">
      <c r="A3" s="250" t="s">
        <v>201</v>
      </c>
      <c r="B3" s="263" t="s">
        <v>202</v>
      </c>
      <c r="C3" s="288" t="s">
        <v>412</v>
      </c>
      <c r="D3" s="288" t="s">
        <v>607</v>
      </c>
      <c r="E3" s="288" t="s">
        <v>608</v>
      </c>
      <c r="F3" s="288" t="s">
        <v>107</v>
      </c>
      <c r="G3" s="251" t="s">
        <v>112</v>
      </c>
    </row>
    <row r="4" spans="1:7" ht="15" customHeight="1">
      <c r="A4" s="105">
        <v>1</v>
      </c>
      <c r="B4" s="100">
        <v>2</v>
      </c>
      <c r="C4" s="106"/>
      <c r="D4" s="106" t="s">
        <v>629</v>
      </c>
      <c r="E4" s="106" t="s">
        <v>567</v>
      </c>
      <c r="F4" s="106" t="s">
        <v>564</v>
      </c>
      <c r="G4" s="107">
        <v>6</v>
      </c>
    </row>
    <row r="5" spans="1:7" ht="12.75">
      <c r="A5" s="120" t="s">
        <v>57</v>
      </c>
      <c r="B5" s="123" t="s">
        <v>66</v>
      </c>
      <c r="C5" s="289" t="e">
        <f>SUM(SUMIF(Org!$A$8:Org!$A$585," 0111",Org!#REF!:Org!#REF!),SUMIF(Org!$A$10:Org!$A$585," 0160",Org!#REF!:Org!#REF!),SUMIF(Org!$A$10:Org!$A$585," 0180",Org!#REF!:Org!#REF!),SUMIF(Org!$A$10:Org!$A$585,"0170 ",Org!#REF!:Org!#REF!))-'B.pr. i prim. za nef. im.'!#REF!-'B.pr. i prim. za nef. im.'!#REF!</f>
        <v>#REF!</v>
      </c>
      <c r="D5" s="289">
        <f>SUM(SUMIF(Org!$A$8:Org!$A$585," 0111",Org!E$8:Org!E$585),SUMIF(Org!$A$10:Org!$A$585," 0160",Org!E$10:Org!E$586),SUMIF(Org!$A$10:Org!$A$585," 0180",Org!E$10:Org!E$586),SUMIF(Org!$A$9:Org!$A$585,"0113",Org!E$9:Org!E$585),SUMIF(Org!$A$10:Org!$A$585,"0170 ",Org!E$10:Org!E$585))-'B.pr. i prim. za nef. im.'!D102-'B.pr. i prim. za nef. im.'!D104</f>
        <v>5935900</v>
      </c>
      <c r="E5" s="289">
        <f>SUM(SUMIF(Org!$A$8:Org!$A$585," 0111",Org!F$8:Org!F$585),SUMIF(Org!$A$10:Org!$A$585," 0160",Org!F$10:Org!F$586),SUMIF(Org!$A$10:Org!$A$585," 0180",Org!F$10:Org!F$586),SUMIF(Org!$A$9:Org!$A$585,"0113",Org!F$9:Org!F$585),SUMIF(Org!$A$10:Org!$A$585,"0170 ",Org!F$10:Org!F$585))-'B.pr. i prim. za nef. im.'!E102-'B.pr. i prim. za nef. im.'!E104</f>
        <v>6607925</v>
      </c>
      <c r="F5" s="289">
        <f>IF(D5&gt;0,E5/D5*100,0)</f>
        <v>111.32136659984164</v>
      </c>
      <c r="G5" s="258">
        <f>E5/$E$15*100</f>
        <v>23.681386408959035</v>
      </c>
    </row>
    <row r="6" spans="1:7" ht="12.75">
      <c r="A6" s="120" t="s">
        <v>58</v>
      </c>
      <c r="B6" s="290" t="s">
        <v>67</v>
      </c>
      <c r="C6" s="289" t="e">
        <f>SUM(SUMIF(Org!$A$10:Org!$A$586,"02",Org!#REF!:Org!#REF!))</f>
        <v>#REF!</v>
      </c>
      <c r="D6" s="289">
        <f>SUM(SUMIF(Org!$A$10:Org!$A$586,"02",Org!E$10:Org!E$586))</f>
        <v>0</v>
      </c>
      <c r="E6" s="289">
        <f>SUM(SUMIF(Org!$A$10:Org!$A$586,"02",Org!F$10:Org!F$586))</f>
        <v>0</v>
      </c>
      <c r="F6" s="289">
        <f aca="true" t="shared" si="0" ref="F6:F15">IF(D6&gt;0,E6/D6*100,0)</f>
        <v>0</v>
      </c>
      <c r="G6" s="258">
        <f aca="true" t="shared" si="1" ref="G6:G15">E6/$E$15*100</f>
        <v>0</v>
      </c>
    </row>
    <row r="7" spans="1:7" ht="12.75">
      <c r="A7" s="120" t="s">
        <v>59</v>
      </c>
      <c r="B7" s="123" t="s">
        <v>68</v>
      </c>
      <c r="C7" s="289" t="e">
        <f>SUM(SUMIF(Org!$A$10:Org!$A$585," 0320",Org!#REF!:Org!#REF!),SUMIF(Org!$A$10:Org!$A$585,"0350",Org!#REF!:Org!#REF!))</f>
        <v>#REF!</v>
      </c>
      <c r="D7" s="289">
        <f>SUM(SUMIF(Org!$A$10:Org!$A$585," 0320",Org!E$10:Org!E$586),SUMIF(Org!$A$10:Org!$A$585,"0350"))</f>
        <v>466800</v>
      </c>
      <c r="E7" s="289">
        <f>SUM(SUMIF(Org!$A$10:Org!$A$585," 0320",Org!F$10:Org!F$586),SUMIF(Org!$A$10:Org!$A$585,"0350"))</f>
        <v>550730</v>
      </c>
      <c r="F7" s="289">
        <f t="shared" si="0"/>
        <v>117.97986289631535</v>
      </c>
      <c r="G7" s="258">
        <f t="shared" si="1"/>
        <v>1.9736982391607059</v>
      </c>
    </row>
    <row r="8" spans="1:8" ht="12.75">
      <c r="A8" s="120" t="s">
        <v>60</v>
      </c>
      <c r="B8" s="194" t="s">
        <v>69</v>
      </c>
      <c r="C8" s="289" t="e">
        <f>SUM(SUMIF(Org!$A$10:Org!$A$585," 0412",Org!#REF!:Org!#REF!),SUMIF(Org!$A$10:Org!$A$585," 0421",Org!#REF!:Org!#REF!),SUMIF(Org!$A$10:Org!$A$585," 0422",Org!#REF!:Org!#REF!),SUMIF(Org!$A$10:Org!$A$585," 0442",Org!#REF!:Org!#REF!),SUMIF(Org!$A$10:Org!$A$585," 0451",Org!#REF!:Org!#REF!),SUMIF(Org!$A$10:Org!$A$585," 0473",Org!#REF!:Org!#REF!),SUMIF(Org!$A$10:Org!$A$585,"0474 ",Org!#REF!:Org!#REF!),SUMIF(Org!$A$10:Org!$A$585,"0490 ",Org!#REF!:Org!#REF!))</f>
        <v>#REF!</v>
      </c>
      <c r="D8" s="289">
        <f>SUM(SUMIF(Org!$A$10:Org!$A$585," 0412",Org!E$10:Org!E$585),SUMIF(Org!$A$10:Org!$A$585," 0421",Org!E$10:Org!E$585),SUMIF(Org!$A$10:Org!$A$585," 0422",Org!E$10:Org!E$585),SUMIF(Org!$A$10:Org!$A$585," 0442",Org!E$10:Org!E$585),SUMIF(Org!$A$10:Org!$A$585," 0451",Org!E$10:Org!E$586),SUMIF(Org!$A$10:Org!$A$585," 0473",Org!E$10:Org!E$586),SUMIF(Org!$A$10:Org!$A$585,"0474 ",Org!E$10:Org!E$585),SUMIF(Org!$A$10:Org!$A$585,"0490 ",Org!E$10:Org!E$585))</f>
        <v>1143500</v>
      </c>
      <c r="E8" s="289">
        <f>SUM(SUMIF(Org!$A$10:Org!$A$585," 0412",Org!F$10:Org!F$585),SUMIF(Org!$A$10:Org!$A$585," 0421",Org!F$10:Org!F$585),SUMIF(Org!$A$10:Org!$A$585," 0422",Org!F$10:Org!F$585),SUMIF(Org!$A$10:Org!$A$585," 0442",Org!F$10:Org!F$585),SUMIF(Org!$A$10:Org!$A$585," 0451",Org!F$10:Org!F$586),SUMIF(Org!$A$10:Org!$A$585," 0473",Org!F$10:Org!F$586),SUMIF(Org!$A$10:Org!$A$585,"0474 ",Org!F$10:Org!F$585),SUMIF(Org!$A$10:Org!$A$585,"0490 ",Org!F$10:Org!F$585))</f>
        <v>1332500</v>
      </c>
      <c r="F8" s="289">
        <f t="shared" si="0"/>
        <v>116.52820288587668</v>
      </c>
      <c r="G8" s="258">
        <f t="shared" si="1"/>
        <v>4.775394301530043</v>
      </c>
      <c r="H8" s="1"/>
    </row>
    <row r="9" spans="1:7" ht="12.75">
      <c r="A9" s="120" t="s">
        <v>61</v>
      </c>
      <c r="B9" s="194" t="s">
        <v>70</v>
      </c>
      <c r="C9" s="289" t="e">
        <f>SUM(SUMIF(Org!$A$10:Org!$A$585," 0510",Org!#REF!:Org!#REF!))</f>
        <v>#REF!</v>
      </c>
      <c r="D9" s="289">
        <f>SUM(SUMIF(Org!$A$10:Org!$A$585," 0510",Org!E$10:Org!E$585))</f>
        <v>0</v>
      </c>
      <c r="E9" s="289">
        <f>SUM(SUMIF(Org!$A$10:Org!$A$585," 0510",Org!F$10:Org!F$585))</f>
        <v>0</v>
      </c>
      <c r="F9" s="289">
        <f t="shared" si="0"/>
        <v>0</v>
      </c>
      <c r="G9" s="258">
        <f t="shared" si="1"/>
        <v>0</v>
      </c>
    </row>
    <row r="10" spans="1:7" ht="12.75">
      <c r="A10" s="120" t="s">
        <v>62</v>
      </c>
      <c r="B10" s="194" t="s">
        <v>71</v>
      </c>
      <c r="C10" s="289" t="e">
        <f>SUM(SUMIF(Org!$A$10:Org!$A$585,"0610 ",Org!#REF!:Org!#REF!),SUMIF(Org!$A$10:Org!$A$585,"0630 ",Org!#REF!:Org!#REF!),SUMIF(Org!$A$10:Org!$A$585,"0620",Org!#REF!:Org!#REF!),SUMIF(Org!$A$10:Org!$A$585,"0660",Org!#REF!:Org!#REF!))</f>
        <v>#REF!</v>
      </c>
      <c r="D10" s="289">
        <f>SUM(SUMIF(Org!$A$10:Org!$A$585,"0610 ",Org!E$10:Org!E$585),SUMIF(Org!$A$10:Org!$A$585,"0630 ",Org!E$10:Org!E$585),SUMIF(Org!$A$10:Org!$A$585,"0620",Org!E$10:Org!E$585),SUMIF(Org!$A$10:Org!$A$585,"0660",Org!E$10:Org!E$585))</f>
        <v>3139500</v>
      </c>
      <c r="E10" s="289">
        <f>SUM(SUMIF(Org!$A$10:Org!$A$585,"0610 ",Org!F$10:Org!F$585),SUMIF(Org!$A$10:Org!$A$585,"0630 ",Org!F$10:Org!F$585),SUMIF(Org!$A$10:Org!$A$585,"0620",Org!F$10:Org!F$585),SUMIF(Org!$A$10:Org!$A$585,"0660",Org!F$10:Org!F$585))</f>
        <v>4477000</v>
      </c>
      <c r="F10" s="289">
        <f t="shared" si="0"/>
        <v>142.60232521102085</v>
      </c>
      <c r="G10" s="258">
        <f t="shared" si="1"/>
        <v>16.044608096022518</v>
      </c>
    </row>
    <row r="11" spans="1:8" ht="12.75">
      <c r="A11" s="120" t="s">
        <v>63</v>
      </c>
      <c r="B11" s="61" t="s">
        <v>72</v>
      </c>
      <c r="C11" s="289" t="e">
        <f>SUM(SUMIF(Org!$A$10:Org!$A$585,"0740",Org!#REF!:Org!#REF!),SUMIF(Org!$A$10:Org!$A$585,"0720",Org!#REF!:Org!#REF!),SUMIF(Org!$A$10:Org!$A$585,"0734",Org!#REF!:Org!#REF!))</f>
        <v>#REF!</v>
      </c>
      <c r="D11" s="289">
        <f>SUM(SUMIF(Org!$A$10:Org!$A$585,"0740",Org!E$10:Org!E$585),SUMIF(Org!$A$10:Org!$A$585,"0721",Org!E$10:Org!E$585),SUMIF(Org!$A$10:Org!$A$585,"0734",Org!E$10:Org!E$585))</f>
        <v>6078200</v>
      </c>
      <c r="E11" s="289">
        <f>SUM(SUMIF(Org!$A$10:Org!$A$585,"0740",Org!F$10:Org!F$585),SUMIF(Org!$A$10:Org!$A$585,"0721",Org!F$10:Org!F$585),SUMIF(Org!$A$10:Org!$A$585,"0734",Org!F$10:Org!F$585))</f>
        <v>6272400</v>
      </c>
      <c r="F11" s="289">
        <f t="shared" si="0"/>
        <v>103.19502484288112</v>
      </c>
      <c r="G11" s="258">
        <f t="shared" si="1"/>
        <v>22.47893674815538</v>
      </c>
      <c r="H11" s="1"/>
    </row>
    <row r="12" spans="1:7" ht="12.75">
      <c r="A12" s="120" t="s">
        <v>64</v>
      </c>
      <c r="B12" s="61" t="s">
        <v>73</v>
      </c>
      <c r="C12" s="289" t="e">
        <f>SUM(SUMIF(Org!$A$10:Org!$A$585,"0810",Org!#REF!),SUMIF(Org!$A$10:Org!$A$586,"0820",Org!#REF!:Org!#REF!),SUMIF(Org!$A$10:Org!$A$586,"0830",Org!#REF!:Org!#REF!),SUMIF(Org!$A$10:Org!$A$585,"0840",Org!#REF!:Org!#REF!),SUMIF(Org!$A$10:Org!$A$585,"0860",Org!#REF!:Org!#REF!))-'B.pr. i prim. za nef. im.'!#REF!</f>
        <v>#REF!</v>
      </c>
      <c r="D12" s="289">
        <f>SUM(SUMIF(Org!$A$10:Org!$A$585,"0810",Org!E$10:E$586),SUMIF(Org!$A$10:Org!$A$586,"0820",Org!E$10:Org!E$586),SUMIF(Org!$A$10:Org!$A$586,"0830",Org!E$10:Org!E$586),SUMIF(Org!$A$10:Org!$A$585,"0840",Org!E$10:Org!E$586),SUMIF(Org!$A$10:Org!$A$585,"0860",Org!E$10:Org!E$586))-'B.pr. i prim. za nef. im.'!D109-'B.pr. i prim. za nef. im.'!D107</f>
        <v>1317100</v>
      </c>
      <c r="E12" s="289">
        <f>SUM(SUMIF(Org!$A$10:Org!$A$585,"0810",Org!F$10:F$586),SUMIF(Org!$A$10:Org!$A$586,"0820",Org!F$10:Org!F$586),SUMIF(Org!$A$10:Org!$A$586,"0830",Org!F$10:Org!F$586),SUMIF(Org!$A$10:Org!$A$585,"0840",Org!F$10:Org!F$586),SUMIF(Org!$A$10:Org!$A$585,"0860",Org!F$10:Org!F$586))-'B.pr. i prim. za nef. im.'!E109-'B.pr. i prim. za nef. im.'!E107</f>
        <v>1235600</v>
      </c>
      <c r="F12" s="289">
        <f t="shared" si="0"/>
        <v>93.81216308556678</v>
      </c>
      <c r="G12" s="258">
        <f t="shared" si="1"/>
        <v>4.428125477651424</v>
      </c>
    </row>
    <row r="13" spans="1:7" ht="12.75">
      <c r="A13" s="120" t="s">
        <v>65</v>
      </c>
      <c r="B13" s="194" t="s">
        <v>74</v>
      </c>
      <c r="C13" s="289" t="e">
        <f>SUM(SUMIF(Org!$A$10:Org!$A$585,"0912",Org!#REF!:Org!#REF!),SUMIF(Org!$A$10:Org!$A$585,"0911",Org!#REF!:Org!#REF!),SUMIF(Org!$A$10:Org!$A$585,"0941",Org!#REF!:Org!#REF!),SUMIF(Org!$A$10:Org!$A$585,"0942",Org!#REF!:Org!#REF!),SUMIF(Org!$A$10:Org!$A$585,"0922",Org!#REF!:Org!#REF!),SUMIF(Org!$A$10:Org!$A$585,"0921",Org!#REF!:Org!#REF!))</f>
        <v>#REF!</v>
      </c>
      <c r="D13" s="289">
        <f>SUM(SUMIF(Org!$A$10:Org!$A$585,"0912",Org!E$10:Org!E$586),SUMIF(Org!$A$10:Org!$A$585,"0911",Org!E$10:Org!E$586),SUMIF(Org!$A$10:Org!$A$585,"0941",Org!E$10:Org!E$586),SUMIF(Org!$A$10:Org!$A$585,"0942",Org!E$10:Org!E$586),SUMIF(Org!$A$10:Org!$A$585,"0922",Org!E$10:Org!E$586),SUMIF(Org!$A$10:Org!$A$585,"0921",Org!E$10:Org!E$586))</f>
        <v>2042300</v>
      </c>
      <c r="E13" s="289">
        <f>SUM(SUMIF(Org!$A$10:Org!$A$585,"0912",Org!F$10:Org!F$586),SUMIF(Org!$A$10:Org!$A$585,"0911",Org!F$10:Org!F$586),SUMIF(Org!$A$10:Org!$A$585,"0941",Org!F$10:Org!F$586),SUMIF(Org!$A$10:Org!$A$585,"0942",Org!F$10:Org!F$586),SUMIF(Org!$A$10:Org!$A$585,"0922",Org!F$10:Org!F$586),SUMIF(Org!$A$10:Org!$A$585,"0921",Org!F$10:Org!F$586))</f>
        <v>2006300</v>
      </c>
      <c r="F13" s="289">
        <f t="shared" si="0"/>
        <v>98.23728149635215</v>
      </c>
      <c r="G13" s="258">
        <f t="shared" si="1"/>
        <v>7.190149033515741</v>
      </c>
    </row>
    <row r="14" spans="1:8" ht="12.75">
      <c r="A14" s="261">
        <v>10</v>
      </c>
      <c r="B14" s="194" t="s">
        <v>75</v>
      </c>
      <c r="C14" s="289" t="e">
        <f>SUM(SUMIF(Org!$A$10:Org!$A$586,"1011",Org!#REF!:Org!#REF!),SUMIF(Org!$A$10:Org!$A$586,"1020",Org!#REF!:Org!#REF!),SUMIF(Org!$A$10:Org!$A$586,"1090",Org!#REF!:Org!#REF!),SUMIF(Org!$A$10:Org!$A$586,"1040",Org!#REF!:Org!#REF!))</f>
        <v>#REF!</v>
      </c>
      <c r="D14" s="289">
        <f>SUM(SUMIF(Org!$A$10:Org!$A$586,"1011",Org!E$10:Org!E$586),SUMIF(Org!$A$10:Org!$A$586,"1020",Org!E$10:Org!E$586),SUMIF(Org!$A$10:Org!$A$586,"1090",Org!E$10:Org!E$586),SUMIF(Org!$A$9:Org!$A$586,"1070",Org!E$9:Org!E$586),SUMIF(Org!$A$10:Org!$A$586,"1040",Org!E$10:Org!E$586))</f>
        <v>4656300</v>
      </c>
      <c r="E14" s="289">
        <f>SUM(SUMIF(Org!$A$10:Org!$A$586,"1011",Org!F$10:Org!F$586),SUMIF(Org!$A$10:Org!$A$586,"1020",Org!F$10:Org!F$586),SUMIF(Org!$A$10:Org!$A$586,"1090",Org!F$10:Org!F$586),SUMIF(Org!$A$9:Org!$A$586,"1070",Org!F$9:Org!F$586),SUMIF(Org!$A$10:Org!$A$586,"1040",Org!F$10:Org!F$586))</f>
        <v>5421000</v>
      </c>
      <c r="F14" s="289">
        <f t="shared" si="0"/>
        <v>116.42291089491657</v>
      </c>
      <c r="G14" s="258">
        <f t="shared" si="1"/>
        <v>19.427701695005155</v>
      </c>
      <c r="H14" s="1"/>
    </row>
    <row r="15" spans="1:8" ht="22.5" customHeight="1" thickBot="1">
      <c r="A15" s="291"/>
      <c r="B15" s="292" t="s">
        <v>313</v>
      </c>
      <c r="C15" s="293" t="e">
        <f>SUM(C5:C14)</f>
        <v>#REF!</v>
      </c>
      <c r="D15" s="293">
        <f>SUM(D5:D14)</f>
        <v>24779600</v>
      </c>
      <c r="E15" s="293">
        <f>SUM(E5:E14)</f>
        <v>27903455</v>
      </c>
      <c r="F15" s="368">
        <f t="shared" si="0"/>
        <v>112.60655942791651</v>
      </c>
      <c r="G15" s="294">
        <f t="shared" si="1"/>
        <v>100</v>
      </c>
      <c r="H15" s="1"/>
    </row>
    <row r="16" spans="3:7" ht="13.5" thickTop="1">
      <c r="C16" s="1"/>
      <c r="D16" s="1"/>
      <c r="E16" s="1"/>
      <c r="F16" s="1"/>
      <c r="G16" s="1"/>
    </row>
    <row r="17" spans="1:2" ht="17.25" customHeight="1" thickBot="1">
      <c r="A17" s="572" t="s">
        <v>362</v>
      </c>
      <c r="B17" s="572"/>
    </row>
    <row r="18" spans="1:7" ht="67.5" customHeight="1" thickTop="1">
      <c r="A18" s="295" t="s">
        <v>201</v>
      </c>
      <c r="B18" s="282" t="s">
        <v>357</v>
      </c>
      <c r="C18" s="288" t="s">
        <v>412</v>
      </c>
      <c r="D18" s="288" t="s">
        <v>607</v>
      </c>
      <c r="E18" s="288" t="s">
        <v>608</v>
      </c>
      <c r="F18" s="288" t="s">
        <v>107</v>
      </c>
      <c r="G18" s="251" t="s">
        <v>112</v>
      </c>
    </row>
    <row r="19" spans="1:7" ht="14.25" customHeight="1" thickBot="1">
      <c r="A19" s="105">
        <v>1</v>
      </c>
      <c r="B19" s="100">
        <v>2</v>
      </c>
      <c r="C19" s="106"/>
      <c r="D19" s="106" t="s">
        <v>629</v>
      </c>
      <c r="E19" s="106" t="s">
        <v>567</v>
      </c>
      <c r="F19" s="106" t="s">
        <v>564</v>
      </c>
      <c r="G19" s="107">
        <v>6</v>
      </c>
    </row>
    <row r="20" spans="1:7" ht="12.75">
      <c r="A20" s="296" t="s">
        <v>358</v>
      </c>
      <c r="B20" s="297" t="s">
        <v>359</v>
      </c>
      <c r="C20" s="298" t="e">
        <f>C15-C21</f>
        <v>#REF!</v>
      </c>
      <c r="D20" s="298">
        <f>D15-D21</f>
        <v>15480000</v>
      </c>
      <c r="E20" s="298">
        <f>E15-E21</f>
        <v>18441655</v>
      </c>
      <c r="F20" s="381">
        <f>E20/D20*100</f>
        <v>119.13213824289406</v>
      </c>
      <c r="G20" s="299">
        <f>E20/$E$22*100</f>
        <v>66.09093748426494</v>
      </c>
    </row>
    <row r="21" spans="1:8" ht="13.5" thickBot="1">
      <c r="A21" s="300" t="s">
        <v>360</v>
      </c>
      <c r="B21" s="301" t="s">
        <v>361</v>
      </c>
      <c r="C21" s="262" t="e">
        <f>SUM(SUMIF(Org!$A$10:Org!$A$586,"0734",Org!#REF!:Org!#REF!),SUMIF(Org!$A$10:Org!$A$586,"0740",Org!#REF!:Org!#REF!),SUMIF(Org!$A$10:Org!$A$586,"0810",Org!#REF!:Org!#REF!),SUMIF(Org!$A$10:Org!$A$586,"0820",Org!#REF!:Org!#REF!),SUMIF(Org!$A$10:Org!$A$586,"0911",Org!#REF!:Org!#REF!),SUMIF(Org!$A$10:Org!$A$586,"0912",Org!#REF!:Org!#REF!),SUMIF(Org!$A$10:Org!$A$586,"0921",Org!#REF!:Org!#REF!),SUMIF(Org!$A$10:Org!$A$586,"0922",Org!#REF!:Org!#REF!),SUMIF(Org!$A$10:Org!$A$586,"0941",Org!#REF!:Org!#REF!),SUMIF(Org!$A$10:Org!$A$586,"1011",Org!#REF!:Org!#REF!),SUMIF(Org!$A$10:Org!$A$586,"1020",Org!#REF!:Org!#REF!),SUMIF(Org!$A$10:Org!$A$586,"1040",Org!#REF!:Org!#REF!))-'B.pr. i prim. za nef. im.'!#REF!</f>
        <v>#REF!</v>
      </c>
      <c r="D21" s="262">
        <f>SUM(SUMIF(Org!$A$10:Org!$A$586,"0734",Org!E$10:Org!E$586),SUMIF(Org!$A$10:Org!$A$586,"0721",Org!E$10:Org!E$586),SUMIF(Org!$A$10:Org!$A$586,"0740",Org!E$10:Org!E$586),SUMIF(Org!$A$10:Org!$A$586,"0810",Org!E$10:Org!E$586),SUMIF(Org!$A$10:Org!$A$586,"0820",Org!E$10:Org!E$586),SUMIF(Org!$A$10:Org!$A$586,"0911",Org!E$10:Org!E$586),SUMIF(Org!$A$10:Org!$A$586,"0912",Org!E$10:Org!E$586),SUMIF(Org!$A$10:Org!$A$586,"0921",Org!E$10:Org!E$586),SUMIF(Org!$A$10:Org!$A$586,"0922",Org!E$10:Org!E$586),SUMIF(Org!$A$10:Org!$A$586,"0941",Org!E$10:Org!E$586),SUMIF(Org!$A$10:Org!$A$586,"1011",Org!E$10:Org!E$586),SUMIF(Org!$A$10:Org!$A$586,"1020",Org!E$10:Org!E$586),SUMIF(Org!$A$10:Org!$A$586,"1040",Org!E$10:Org!E$586))-'B.pr. i prim. za nef. im.'!D108</f>
        <v>9299600</v>
      </c>
      <c r="E21" s="262">
        <f>SUM(SUMIF(Org!$A$10:Org!$A$586,"0734",Org!F$10:Org!F$586),SUMIF(Org!$A$10:Org!$A$586,"0721",Org!F$10:Org!F$586),SUMIF(Org!$A$10:Org!$A$586,"0740",Org!F$10:Org!F$586),SUMIF(Org!$A$10:Org!$A$586,"0810",Org!F$10:Org!F$586),SUMIF(Org!$A$10:Org!$A$586,"0820",Org!F$10:Org!F$586),SUMIF(Org!$A$10:Org!$A$586,"0911",Org!F$10:Org!F$586),SUMIF(Org!$A$10:Org!$A$586,"0912",Org!F$10:Org!F$586),SUMIF(Org!$A$10:Org!$A$586,"0921",Org!F$10:Org!F$586),SUMIF(Org!$A$10:Org!$A$586,"0922",Org!F$10:Org!F$586),SUMIF(Org!$A$10:Org!$A$586,"0941",Org!F$10:Org!F$586),SUMIF(Org!$A$10:Org!$A$586,"1011",Org!F$10:Org!F$586),SUMIF(Org!$A$10:Org!$A$586,"1020",Org!F$10:Org!F$586),SUMIF(Org!$A$10:Org!$A$586,"1040",Org!F$10:Org!F$586))-'B.pr. i prim. za nef. im.'!E108</f>
        <v>9461800</v>
      </c>
      <c r="F21" s="488">
        <f>E21/D21*100</f>
        <v>101.74416103918449</v>
      </c>
      <c r="G21" s="302">
        <f>E21/$E$22*100</f>
        <v>33.90906251573506</v>
      </c>
      <c r="H21" s="1"/>
    </row>
    <row r="22" spans="1:7" ht="20.25" customHeight="1" thickBot="1">
      <c r="A22" s="291"/>
      <c r="B22" s="292" t="s">
        <v>313</v>
      </c>
      <c r="C22" s="303" t="e">
        <f>SUM(C20:C21)</f>
        <v>#REF!</v>
      </c>
      <c r="D22" s="303">
        <f>SUM(D20:D21)</f>
        <v>24779600</v>
      </c>
      <c r="E22" s="303">
        <f>SUM(E20:E21)</f>
        <v>27903455</v>
      </c>
      <c r="F22" s="303">
        <f>E22/D22*100</f>
        <v>112.60655942791651</v>
      </c>
      <c r="G22" s="304">
        <f>E22/$E$22*100</f>
        <v>100</v>
      </c>
    </row>
    <row r="23" spans="1:7" ht="20.25" customHeight="1" thickTop="1">
      <c r="A23" s="26"/>
      <c r="B23" s="26"/>
      <c r="C23" s="26"/>
      <c r="D23" s="26"/>
      <c r="E23" s="26"/>
      <c r="F23" s="26"/>
      <c r="G23" s="26"/>
    </row>
    <row r="24" spans="1:7" ht="16.5" customHeight="1">
      <c r="A24" s="26"/>
      <c r="B24" s="28"/>
      <c r="C24" s="38"/>
      <c r="D24" s="38"/>
      <c r="E24" s="38"/>
      <c r="F24" s="26"/>
      <c r="G24" s="26"/>
    </row>
    <row r="25" spans="4:5" ht="16.5" customHeight="1" hidden="1">
      <c r="D25" s="1">
        <f>'opsti dio'!C38+'opsti dio'!C35+'opsti dio'!C57+'opsti dio'!C64</f>
        <v>3140400</v>
      </c>
      <c r="E25" s="1"/>
    </row>
    <row r="26" spans="4:5" ht="27" customHeight="1" hidden="1">
      <c r="D26" s="1">
        <f>D22+D25</f>
        <v>27920000</v>
      </c>
      <c r="E26" s="1"/>
    </row>
    <row r="27" spans="4:5" ht="12.75">
      <c r="D27" s="1"/>
      <c r="E27" s="1"/>
    </row>
    <row r="28" spans="4:5" ht="12.75">
      <c r="D28" s="1"/>
      <c r="E28" s="1"/>
    </row>
    <row r="29" ht="20.25" customHeight="1"/>
  </sheetData>
  <sheetProtection/>
  <mergeCells count="3">
    <mergeCell ref="A1:G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15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2023-11-13T10:14:30Z</cp:lastPrinted>
  <dcterms:created xsi:type="dcterms:W3CDTF">2006-03-15T13:27:57Z</dcterms:created>
  <dcterms:modified xsi:type="dcterms:W3CDTF">2023-11-24T08:11:00Z</dcterms:modified>
  <cp:category/>
  <cp:version/>
  <cp:contentType/>
  <cp:contentStatus/>
</cp:coreProperties>
</file>