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0" windowWidth="22050" windowHeight="8820" firstSheet="2" activeTab="6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im.'!$A$1:$H$132</definedName>
    <definedName name="_xlnm.Print_Area" localSheetId="3">'B.rash. i izdaci za nef. im.'!$A$1:$G$65</definedName>
    <definedName name="_xlnm.Print_Area" localSheetId="4">'Finansiranje'!$A$1:$E$49</definedName>
    <definedName name="_xlnm.Print_Area" localSheetId="6">'Funkc. kl.'!$A$1:$H$22</definedName>
    <definedName name="_xlnm.Print_Area" localSheetId="1">'opsti dio'!$A$1:$F$67</definedName>
    <definedName name="_xlnm.Print_Area" localSheetId="5">'Org'!$A$1:$I$611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<sst xmlns="http://schemas.openxmlformats.org/spreadsheetml/2006/main" count="1377" uniqueCount="729">
  <si>
    <t>Трошкови репрезентације</t>
  </si>
  <si>
    <t>Помоћи појединцима</t>
  </si>
  <si>
    <t>Набавка опреме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</si>
  <si>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</si>
  <si>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</si>
  <si>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</si>
  <si>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</si>
  <si>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</si>
  <si>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</si>
  <si>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</si>
  <si>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</si>
  <si>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</si>
  <si>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</si>
  <si>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</si>
  <si>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</si>
  <si>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</si>
  <si>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</si>
  <si>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</si>
  <si>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</si>
  <si>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</si>
  <si>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</si>
  <si>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</si>
  <si>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</si>
  <si>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</si>
  <si>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</si>
  <si>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</si>
  <si>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</si>
  <si>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</si>
  <si>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</si>
  <si>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</si>
  <si>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</si>
  <si>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</si>
  <si>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</si>
  <si>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</si>
  <si>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</si>
  <si>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</si>
  <si>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</si>
  <si>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</si>
  <si>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</si>
  <si>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</si>
  <si>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</si>
  <si>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</si>
  <si>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</si>
  <si>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</si>
  <si>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</si>
  <si>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</si>
  <si>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</si>
  <si>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</si>
  <si>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</si>
  <si>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</si>
  <si>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</si>
  <si>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</si>
  <si>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</si>
  <si>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</si>
  <si>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</si>
  <si>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</si>
  <si>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</si>
  <si>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</si>
  <si>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</si>
  <si>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</si>
  <si>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</si>
  <si>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</si>
  <si>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</si>
  <si>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</si>
  <si>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</si>
  <si>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</si>
  <si>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</si>
  <si>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</si>
  <si>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</si>
  <si>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</si>
  <si>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</si>
  <si>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</si>
  <si>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</si>
  <si>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</si>
  <si>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</si>
  <si>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</si>
  <si>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</si>
  <si>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</si>
  <si>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</si>
  <si>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</si>
  <si>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</si>
  <si>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</si>
  <si>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</si>
  <si>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</si>
  <si>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</si>
  <si>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</si>
  <si>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</si>
  <si>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</si>
  <si>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</si>
  <si>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</si>
  <si>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</si>
  <si>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</si>
  <si>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</si>
  <si>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</si>
  <si>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</si>
  <si>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</si>
  <si>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</si>
  <si>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</si>
  <si>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</si>
  <si>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</si>
  <si>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</si>
  <si>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</si>
  <si>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</si>
  <si>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</si>
  <si>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</si>
  <si>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</si>
  <si>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</si>
  <si>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</si>
  <si>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</si>
  <si>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</si>
  <si>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</si>
  <si>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</si>
  <si>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</si>
  <si>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Средства за мјере превентивне здравствене заштите животиња</t>
  </si>
  <si>
    <t>% 
учешћа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</si>
  <si>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</si>
  <si>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</si>
  <si>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</si>
  <si>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</si>
  <si>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</si>
  <si>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</si>
  <si>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</si>
  <si>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</si>
  <si>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</si>
  <si>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</si>
  <si>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</si>
  <si>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</si>
  <si>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</si>
  <si>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</si>
  <si>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</si>
  <si>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</si>
  <si>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</si>
  <si>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</si>
  <si>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</si>
  <si>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</si>
  <si>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</si>
  <si>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</si>
  <si>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</si>
  <si>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</si>
  <si>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</si>
  <si>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</si>
  <si>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</si>
  <si>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</si>
  <si>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</si>
  <si>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</si>
  <si>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</si>
  <si>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</si>
  <si>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</si>
  <si>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</si>
  <si>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</si>
  <si>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</si>
  <si>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</si>
  <si>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</si>
  <si>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</si>
  <si>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</si>
  <si>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</si>
  <si>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</si>
  <si>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</si>
  <si>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</si>
  <si>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</si>
  <si>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</si>
  <si>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</si>
  <si>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</si>
  <si>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</si>
  <si>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</si>
  <si>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</si>
  <si>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</si>
  <si>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</si>
  <si>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</si>
  <si>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</si>
  <si>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</si>
  <si>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</si>
  <si>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</si>
  <si>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</si>
  <si>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</si>
  <si>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Подстицаји пољопривредним произвођачима</t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</si>
  <si>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</si>
  <si>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</si>
  <si>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</si>
  <si>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</si>
  <si>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</si>
  <si>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</si>
  <si>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</si>
  <si>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</si>
  <si>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</si>
  <si>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</si>
  <si>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</si>
  <si>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</si>
  <si>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</si>
  <si>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</si>
  <si>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</si>
  <si>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</si>
  <si>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</si>
  <si>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</si>
  <si>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</si>
  <si>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</si>
  <si>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</si>
  <si>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</si>
  <si>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</si>
  <si>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</si>
  <si>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</si>
  <si>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О П И С</t>
  </si>
  <si>
    <t>Плакете, повеље, награде и признања општине</t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</si>
  <si>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</si>
  <si>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</si>
  <si>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</si>
  <si>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</si>
  <si>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</si>
  <si>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</si>
  <si>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</si>
  <si>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</si>
  <si>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</si>
  <si>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</si>
  <si>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</si>
  <si>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</si>
  <si>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</si>
  <si>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</si>
  <si>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</si>
  <si>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</si>
  <si>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</si>
  <si>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</si>
  <si>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</si>
  <si>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</si>
  <si>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</si>
  <si>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</si>
  <si>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</si>
  <si>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</si>
  <si>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</si>
  <si>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Издаци за прибављање земљишта (потпуна експропријација)</t>
  </si>
  <si>
    <t>Трошкови закупнине паркинг простора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</si>
  <si>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</si>
  <si>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</si>
  <si>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</si>
  <si>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ЈУ Центар средњих школа "Иво Андрић" Прњавор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</si>
  <si>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</si>
  <si>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</si>
  <si>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</si>
  <si>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</si>
  <si>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</si>
  <si>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</si>
  <si>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</si>
  <si>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t>Мјере за побољшање демографске ситуације (вантјелесна оплодња и сл.)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</si>
  <si>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</si>
  <si>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</si>
  <si>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</si>
  <si>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</si>
  <si>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</si>
  <si>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</si>
  <si>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</si>
  <si>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</si>
  <si>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</si>
  <si>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</si>
  <si>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</si>
  <si>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</si>
  <si>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</si>
  <si>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</si>
  <si>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</si>
  <si>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</si>
  <si>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</si>
  <si>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</si>
  <si>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</si>
  <si>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</si>
  <si>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</si>
  <si>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</si>
  <si>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</si>
  <si>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Укупни расходи за потрошачку
 јединицу бр.  00750125</t>
  </si>
  <si>
    <t>****</t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</si>
  <si>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</si>
  <si>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</si>
  <si>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</si>
  <si>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</si>
  <si>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</si>
  <si>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</si>
  <si>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</si>
  <si>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</si>
  <si>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</si>
  <si>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</si>
  <si>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</si>
  <si>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</si>
  <si>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</si>
  <si>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</si>
  <si>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</si>
  <si>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</si>
  <si>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0422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</si>
  <si>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</si>
  <si>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</si>
  <si>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Плакете, повеље, награде и признања Начелника општине</t>
  </si>
  <si>
    <t>Израда шумскопривредног основа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</si>
  <si>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</si>
  <si>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</si>
  <si>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</si>
  <si>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</si>
  <si>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Издаци за залихе материјала, робе и ситног инвентара, амбалаже и сл.</t>
  </si>
  <si>
    <t>Капиталне инвестиције из домаћих прихода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</si>
  <si>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</si>
  <si>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</si>
  <si>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</si>
  <si>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</si>
  <si>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</si>
  <si>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</si>
  <si>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</si>
  <si>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</si>
  <si>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</si>
  <si>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</si>
  <si>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</si>
  <si>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</si>
  <si>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</si>
  <si>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</si>
  <si>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</si>
  <si>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</si>
  <si>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</si>
  <si>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</si>
  <si>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</si>
  <si>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</si>
  <si>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</si>
  <si>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</si>
  <si>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Трансфери између  различитих јединица 
власти</t>
  </si>
  <si>
    <t>Расходи за бруто плате запослених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</si>
  <si>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</si>
  <si>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</si>
  <si>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</si>
  <si>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</si>
  <si>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</si>
  <si>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</si>
  <si>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</si>
  <si>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</si>
  <si>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</si>
  <si>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</si>
  <si>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</si>
  <si>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</si>
  <si>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</si>
  <si>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</si>
  <si>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</si>
  <si>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</si>
  <si>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</si>
  <si>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Порези на имовину - порез на непокретности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</si>
  <si>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</si>
  <si>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</si>
  <si>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</si>
  <si>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</si>
  <si>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</si>
  <si>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</si>
  <si>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</si>
  <si>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</si>
  <si>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</si>
  <si>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Остали непоменути расходи - припрема дјеце за полазак у школу из дозначене помоћи Министарства просвјете и културе РС</t>
  </si>
  <si>
    <t>Расходи по основу судских рјешења</t>
  </si>
  <si>
    <t>Трансфери јединицама локалне самоуправе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</si>
  <si>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</si>
  <si>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</si>
  <si>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</si>
  <si>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</si>
  <si>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t>411000</t>
  </si>
  <si>
    <t>412000</t>
  </si>
  <si>
    <t>Укупни расходи за потрошачку
 јединицу бр.  08400005</t>
  </si>
  <si>
    <t>ЈУ Музичка школа "Константин Бабић" Прњавор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</si>
  <si>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</si>
  <si>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</si>
  <si>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</si>
  <si>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</si>
  <si>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</si>
  <si>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</si>
  <si>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</si>
  <si>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</si>
  <si>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</si>
  <si>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</si>
  <si>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</si>
  <si>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</si>
  <si>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</si>
  <si>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</si>
  <si>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Трансфери од јединица локалнe самоуправe  (поравнање јавних прихода по записницима Пореске управе)</t>
  </si>
  <si>
    <t>Остали општински непорески приходи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</si>
  <si>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</si>
  <si>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</si>
  <si>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</si>
  <si>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</si>
  <si>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</si>
  <si>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</si>
  <si>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</si>
  <si>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</si>
  <si>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</si>
  <si>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</si>
  <si>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</si>
  <si>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</si>
  <si>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Грант КП,,Водовод" АД - набавка опреме</t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</si>
  <si>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</si>
  <si>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</si>
  <si>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t>Неутрошене примљене донације из ранијег периода од Ватрогасног савеза Републике Српске за унапређење заштите од пожара</t>
  </si>
  <si>
    <t>Трансфер Фонду солидарности за дијагностику и лијечење обољења, стања и повреда дјеце у иностранству</t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</si>
  <si>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</si>
  <si>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</si>
  <si>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</si>
  <si>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</si>
  <si>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</si>
  <si>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</si>
  <si>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</si>
  <si>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</si>
  <si>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0412</t>
  </si>
  <si>
    <t>Средства за студентске награде - посебни резултати током школовања</t>
  </si>
  <si>
    <t>170-03 План капиталних улагања</t>
  </si>
  <si>
    <t>Укупни расходи за потрошачку
 јединицу бр.  00750241</t>
  </si>
  <si>
    <t>Изградња споменика погинулим борцима у МЗ Кремна - средства Министарства рада и борачко-инвалидске заштите</t>
  </si>
  <si>
    <t>Накнаде за воде - посебне водне накнаде 
(722442-722448, 722457, 722463, 722464, 722465, 722469)</t>
  </si>
  <si>
    <t>Текуће одржавање путева на неразвијеним дијеловима општине</t>
  </si>
  <si>
    <t>Расходи за накнаду плата запослених за вријеме боловања, родитељског одсуства и осталих накнада плата</t>
  </si>
  <si>
    <t>Субвенционисање трошкова комуналних водних услуга социјално угроженим корисницима на подручју општине Прњавор</t>
  </si>
  <si>
    <t>Расходи финансирања, други финансијски трошкови и расходи трансакција размјене између јединица власти</t>
  </si>
  <si>
    <t>Расходи из трансакције размјене између јединица власти</t>
  </si>
  <si>
    <t>1020</t>
  </si>
  <si>
    <t>Грантови из иностранства</t>
  </si>
  <si>
    <t>Трансфер Министарства просвјете и културе РС Дјечијем вртићу "Наша радост" за програм припреме дјеце за полазак у школу</t>
  </si>
  <si>
    <t>Грант Савјета Европе за пројекат "Промоција едукативних садржаја о националним мањинама у основношколском образовању"</t>
  </si>
  <si>
    <t>Накнаде за личну инвалиднину из средстава Министарства здравља и социјалне заштите</t>
  </si>
  <si>
    <t>Неутрошена намјенска средства из 2017. године - трансфер Министарства просвјете и културе РС на име суфинансирања санације Основне школе "Милош Црњански" Поточани</t>
  </si>
  <si>
    <t>Субвенције за легализацију бесправно изграђених објеката</t>
  </si>
  <si>
    <t>Расходи по основу закупа - пројекат "Наша продавница"</t>
  </si>
  <si>
    <t>Расходи за бруто накнаде члановима управног одбора</t>
  </si>
  <si>
    <t>Средства за реализацију акционог плана за равноправност полова</t>
  </si>
  <si>
    <t>И) РАСПОДЈЕЛА СУФИЦИТА ИЗ РАНИЈЕГ ПЕРИОДА</t>
  </si>
  <si>
    <t>Г) РАСПОДЈЕЛА СУФИЦИТА ИЗ РАНИЈЕГ ПЕРИОДА</t>
  </si>
  <si>
    <t>Издаци по основу аванса</t>
  </si>
  <si>
    <t>3</t>
  </si>
  <si>
    <t>Акцизе</t>
  </si>
  <si>
    <t>Порези на промет производа</t>
  </si>
  <si>
    <t>Порези на промет услуга</t>
  </si>
  <si>
    <t>Трансфер Министарства здравља и социјалне заштите РС Центру за социјални рад за накнаде за личну инвалиднину</t>
  </si>
  <si>
    <t>Акциони план за имплементацију стратегије за инклузију Рома</t>
  </si>
  <si>
    <t>Расходи за материјал за текуће одржавање</t>
  </si>
  <si>
    <t>Обиљежавање Риболовног купа  РВИ</t>
  </si>
  <si>
    <t>Подка-
тегорија</t>
  </si>
  <si>
    <t>Изградња и реконструкција објеката водоснабдијевања (базени, цјевоводи, изворишта, чесме и др.) из намјенских ср. за воде</t>
  </si>
  <si>
    <t>Изједначавање могућности дјеце и омладине са сметњама у развоју из средстава Министарства здравља и социјалне заштите</t>
  </si>
  <si>
    <t>Средства за имплементацију пројекта "Омладинска банка"</t>
  </si>
  <si>
    <t>Средства за студентске картице</t>
  </si>
  <si>
    <t>Издаци за изградњу и прибављање стамбених јединица и објеката</t>
  </si>
  <si>
    <t>Подршка развоју задругарства</t>
  </si>
  <si>
    <t>Укупни расходи за потрошачку
 јединицу бр.  00750126</t>
  </si>
  <si>
    <t>Средства за трошкове обиљежавања значајних датума (за трошкове вијенаца, цвијећа, свијећа и др.)</t>
  </si>
  <si>
    <t>Средства за боравак лица у локалном карантину</t>
  </si>
  <si>
    <t>Трошкови непотпуне експропријације, процјене, вјештачења, накнаде штета и слично</t>
  </si>
  <si>
    <t>Субвенције закупнине стамбених јединица социјалног становања</t>
  </si>
  <si>
    <t>Једнократна новчана помоћ комуналним полицајцима из средстава Фонда солидарности за обнову РС</t>
  </si>
  <si>
    <t>Неутрошена намјенска средства из 2019. године - трансфер Републичког секретеријата за расељена лица и миграције за изградњу улице Милана Тепића</t>
  </si>
  <si>
    <t>Буџет за 
2021. годину</t>
  </si>
  <si>
    <t>Трошкови провођења избора за чланове Савјета мјесних заједница</t>
  </si>
  <si>
    <t>Помоћ сеоским водоводима из намјенских средстава за воде</t>
  </si>
  <si>
    <t>Сервисни трошкови школовања дјеце са сметњама у развоју</t>
  </si>
  <si>
    <t>Сервисни трошкови школовања дјеце са сметњама у развоју - смјештај у хранитељску породицу</t>
  </si>
  <si>
    <t>Неутрошена намјенска средства из 2019. године - грант Савјета Европе за пројекат "Промоција  за изградњу канализационе мреже по пројекту ROMACTED</t>
  </si>
  <si>
    <t>Расходи по основу путовања и смјештаја запослених Општинске управе</t>
  </si>
  <si>
    <t>Трошкови сервисирања зајмова примљених у земљи</t>
  </si>
  <si>
    <t>Неутрошена намјенска средства од посебних накнада за шуме из ранијих година</t>
  </si>
  <si>
    <t>Субвенционисање комуналних такса  за истицање пословног имена</t>
  </si>
  <si>
    <t>Грант Савјета Европе  за помоћ Ромској заједници усљед пандемије COVID-a</t>
  </si>
  <si>
    <t>Трансфери унутар исте јединице власти</t>
  </si>
  <si>
    <t>717111-717112</t>
  </si>
  <si>
    <r>
      <t xml:space="preserve">Трошкови репрезентације- </t>
    </r>
    <r>
      <rPr>
        <b/>
        <sz val="10"/>
        <rFont val="Times New Roman"/>
        <family val="1"/>
      </rPr>
      <t>буџетска резерва</t>
    </r>
  </si>
  <si>
    <r>
      <t xml:space="preserve">Плакете, повеље, награде и признања Начелника општине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</si>
  <si>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Црвеног крста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</si>
  <si>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подстицај и развој спорта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</si>
  <si>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</si>
  <si>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Кола српских сестара Прњавор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</si>
  <si>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националних мањина - </t>
    </r>
    <r>
      <rPr>
        <b/>
        <sz val="10"/>
        <rFont val="Times New Roman"/>
        <family val="1"/>
      </rPr>
      <t>буџетска резерва</t>
    </r>
  </si>
  <si>
    <r>
      <t xml:space="preserve">Удружење пензионера - </t>
    </r>
    <r>
      <rPr>
        <b/>
        <sz val="10"/>
        <rFont val="Times New Roman"/>
        <family val="1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</si>
  <si>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</si>
  <si>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10"/>
        <rFont val="Times New Roman"/>
        <family val="1"/>
      </rPr>
      <t>буџетска резерва</t>
    </r>
  </si>
  <si>
    <r>
      <t xml:space="preserve">ЈП " Радио Прњавор " - </t>
    </r>
    <r>
      <rPr>
        <b/>
        <sz val="10"/>
        <rFont val="Times New Roman"/>
        <family val="1"/>
      </rPr>
      <t>буџетска резерва</t>
    </r>
  </si>
  <si>
    <r>
      <t xml:space="preserve">Помоћ основним школама - </t>
    </r>
    <r>
      <rPr>
        <b/>
        <sz val="10"/>
        <rFont val="Times New Roman"/>
        <family val="1"/>
      </rPr>
      <t>буџетска резерва</t>
    </r>
  </si>
  <si>
    <r>
      <t>Трошкови провизије за електронску наплату паркинга 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преноса података видео надзора</t>
    </r>
  </si>
  <si>
    <r>
      <t xml:space="preserve">Борачка организација општине Прњавор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</si>
  <si>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остале трошкове обиљежавања значајних датума (за трошкове вијенаца, цвијећа, свијећа и др.) - </t>
    </r>
    <r>
      <rPr>
        <b/>
        <sz val="10"/>
        <rFont val="Times New Roman"/>
        <family val="1"/>
      </rPr>
      <t>буџетска резерва</t>
    </r>
  </si>
  <si>
    <r>
      <t xml:space="preserve">Једнократне новчане помоћи појединцима из борачке популације - </t>
    </r>
    <r>
      <rPr>
        <b/>
        <sz val="10"/>
        <rFont val="Times New Roman"/>
        <family val="1"/>
      </rPr>
      <t>буџетска резерва</t>
    </r>
  </si>
  <si>
    <r>
      <t xml:space="preserve">Расходи за стручне услуге (извршење рјешења,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мониторинг загађујућих материја у животној средини)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</si>
  <si>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</si>
  <si>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Смјештај штићеника у установе социјалне заштите</t>
    </r>
    <r>
      <rPr>
        <sz val="10"/>
        <color indexed="10"/>
        <rFont val="Times New Roman"/>
        <family val="1"/>
      </rPr>
      <t xml:space="preserve"> - </t>
    </r>
    <r>
      <rPr>
        <sz val="10"/>
        <rFont val="Times New Roman"/>
        <family val="1"/>
      </rPr>
      <t>буџетске кориснике</t>
    </r>
  </si>
  <si>
    <r>
      <t>Расходи за стручне услуге -</t>
    </r>
    <r>
      <rPr>
        <b/>
        <sz val="10"/>
        <rFont val="Times New Roman"/>
        <family val="1"/>
      </rPr>
      <t xml:space="preserve"> буџетска резерва</t>
    </r>
  </si>
  <si>
    <r>
      <t xml:space="preserve">Расходи за стручне услуге Центра за културу - </t>
    </r>
    <r>
      <rPr>
        <b/>
        <sz val="10"/>
        <rFont val="Times New Roman"/>
        <family val="1"/>
      </rPr>
      <t>буџетска резерва</t>
    </r>
  </si>
  <si>
    <r>
      <t xml:space="preserve">Набавка опреме - </t>
    </r>
    <r>
      <rPr>
        <b/>
        <sz val="10"/>
        <rFont val="Times New Roman"/>
        <family val="1"/>
      </rPr>
      <t>буџетска резерва</t>
    </r>
  </si>
  <si>
    <t>Утрошак намјенских средстава за финансирање посебних мјера заштите од пожара</t>
  </si>
  <si>
    <t xml:space="preserve">%
 учешћа </t>
  </si>
  <si>
    <t>Омладински центар Прњавор</t>
  </si>
  <si>
    <t>Накнаде члановима комисија</t>
  </si>
  <si>
    <t>Инвестиционо  одржавање, реконструкција и адаптација зграда и објеката  Општинске управе</t>
  </si>
  <si>
    <t>Трошкови првостепених стручних комисија</t>
  </si>
  <si>
    <t>Изградња и реконструкција инфраструктуре и других објеката на неразвијеним дијеловима општине</t>
  </si>
  <si>
    <t>Примици од продаје стамбених објеката</t>
  </si>
  <si>
    <t>Финансирање "Родитељске куће"</t>
  </si>
  <si>
    <t>1011</t>
  </si>
  <si>
    <t>Остали комунални послови по наруџби (саднице,  канали, уређење и одржавање  зелених површина и спортских терена, објекти на путу, чишћење сливника, одржавање јавних извора и др.)</t>
  </si>
  <si>
    <t>Зимско одржавање локалних путева, улица, тротоара, тргова и др.</t>
  </si>
  <si>
    <r>
      <t xml:space="preserve">Камата на кредит од </t>
    </r>
    <r>
      <rPr>
        <sz val="10"/>
        <color indexed="10"/>
        <rFont val="Times New Roman"/>
        <family val="1"/>
      </rPr>
      <t>0,00 КМ</t>
    </r>
  </si>
  <si>
    <r>
      <t>Отплата дуга по кредиту од</t>
    </r>
    <r>
      <rPr>
        <sz val="10"/>
        <color indexed="10"/>
        <rFont val="Times New Roman"/>
        <family val="1"/>
      </rPr>
      <t xml:space="preserve"> (0,00 КМ)</t>
    </r>
  </si>
  <si>
    <t>Капиталне инвестиције из кредитних средстава</t>
  </si>
  <si>
    <t>Укупни расходи за потрошачку
 јединицу бр.  00750700</t>
  </si>
  <si>
    <t>Расходи за накнаде за превоз и смјештај (нето)</t>
  </si>
  <si>
    <t>Расходи за накнаде по основу награда (нето)</t>
  </si>
  <si>
    <t>Расходи за закуп зграда, објеката и превозних средстава</t>
  </si>
  <si>
    <t>Расходи по основу утрошка енергије</t>
  </si>
  <si>
    <t>Расходи за комуналне услуге</t>
  </si>
  <si>
    <t>Расходи за комуникационе услуге</t>
  </si>
  <si>
    <t>Расходи за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</si>
  <si>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</si>
  <si>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</si>
  <si>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остали материјал</t>
  </si>
  <si>
    <t>Расходи текућег одржавања зграда</t>
  </si>
  <si>
    <t>Расходи текућег одржавања опреме</t>
  </si>
  <si>
    <t>Расходи за услуге осигурања</t>
  </si>
  <si>
    <t>Расходи за услуге информисања</t>
  </si>
  <si>
    <t>Расходи за компјутерске услуге</t>
  </si>
  <si>
    <t>Расходи за бруто накнаде ван радног времена</t>
  </si>
  <si>
    <t>Расходи по основу организације пријема и славе</t>
  </si>
  <si>
    <t>Расходи по основу пореза, доприноса и непореских накнада
на терет послодавца</t>
  </si>
  <si>
    <t>413000</t>
  </si>
  <si>
    <t>418000</t>
  </si>
  <si>
    <t>Расходу финансирања, други финансијски трошкови  и расходи трансакција размјене измеђуу или унутар јединица власти</t>
  </si>
  <si>
    <t>Издаци за произведену  сталну имовину</t>
  </si>
  <si>
    <t>Издаци за залихе материјала,  робе и ситног инвентара,
амбалаже и сл.</t>
  </si>
  <si>
    <t>610000</t>
  </si>
  <si>
    <t>Издаци за отплату дугова из трансакција између или унутар јединице власти</t>
  </si>
  <si>
    <t>Расходи по основу камата на примљене зајмове у земљи 
(зајмови примљени од банака)</t>
  </si>
  <si>
    <t>Раходи по основу камата на зајмове примљене од Фонда</t>
  </si>
  <si>
    <t>511000</t>
  </si>
  <si>
    <t>Издаци за набавку медецинске и лабараторијске опреме</t>
  </si>
  <si>
    <t>Издаци за нематеријалну произведену имовину</t>
  </si>
  <si>
    <t>Издаци за набавку лиценци</t>
  </si>
  <si>
    <t>516000</t>
  </si>
  <si>
    <t>Издаци за залихе медецинског и лабараторијском материјала</t>
  </si>
  <si>
    <t>Издаци за залихе одјеће и остале залихе материјала</t>
  </si>
  <si>
    <t>621000</t>
  </si>
  <si>
    <t>628000</t>
  </si>
  <si>
    <t>631000</t>
  </si>
  <si>
    <t>638000</t>
  </si>
  <si>
    <t>Издаци за отплату главнице зајмова примљених из земље</t>
  </si>
  <si>
    <t>Издаци за отплату главнице примљених зајмова од Фонда</t>
  </si>
  <si>
    <t>Издаци по основу пореза на додату вриједност</t>
  </si>
  <si>
    <t>Остали издаци из трансакција између или унутар 
јединице власти</t>
  </si>
  <si>
    <t>Издаци за накнаде плата за породиљско боловање и остала боловања 
које се рефундира</t>
  </si>
  <si>
    <t>Расходи за накнаду плата запослених за вријеме боловања
који се не рефундирају (бруто)</t>
  </si>
  <si>
    <t>0720</t>
  </si>
  <si>
    <t>Приходи од партиципације</t>
  </si>
  <si>
    <t>Приходи од неосигураних лица</t>
  </si>
  <si>
    <t>Приходи од осталих здравствених услуга</t>
  </si>
  <si>
    <t>Приходи по основу пружања амбулантних услуга</t>
  </si>
  <si>
    <t>Приходи по основу израде медецинских средстава</t>
  </si>
  <si>
    <t>Приходи по основу услуга иноосигураницима-конвенција</t>
  </si>
  <si>
    <t>Приходи по основу санитетског превоза</t>
  </si>
  <si>
    <t>Приходи по основу осталих здравствених услуга здравствене заштите</t>
  </si>
  <si>
    <t>Приходи по основу пружања услуга  дијализе</t>
  </si>
  <si>
    <t>Приходи по основу консултативно- специјалистичке здравствене заштите</t>
  </si>
  <si>
    <t xml:space="preserve">Приходи од финансијске и нефинансијске имовине и трансакција размјене унутар исте јединице власти </t>
  </si>
  <si>
    <t>Расходи за услуге превоза и смјештаја</t>
  </si>
  <si>
    <t>Расходи за медецински и лабораторијски материјал</t>
  </si>
  <si>
    <t>Расходи за правне и административне послове</t>
  </si>
  <si>
    <t>Расходи за остале стручне услуге</t>
  </si>
  <si>
    <t>Остали некласификовани расходи из трансакција са државом</t>
  </si>
  <si>
    <t>Приходи од закупа  пословних простора - Општинска управа</t>
  </si>
  <si>
    <r>
      <t xml:space="preserve">Приходи од  закупа  пословних простора - </t>
    </r>
    <r>
      <rPr>
        <b/>
        <sz val="10"/>
        <rFont val="Times New Roman"/>
        <family val="1"/>
      </rPr>
      <t>ЈЗУ Дом здравља</t>
    </r>
  </si>
  <si>
    <t>Расходи по основу закупа из трансакција унутар исте јединице власти</t>
  </si>
  <si>
    <t>Расходи по основу утрошка гријања, електричне енергије, воде и канализације унутар исте јединице власти</t>
  </si>
  <si>
    <t>Расходи из трансакција размјене унутар исте јединице власти</t>
  </si>
  <si>
    <t xml:space="preserve">Комунална такса за коришћење простора за паркирање моторних, друмских и прикључних возила </t>
  </si>
  <si>
    <t>Подршка систему прихвата и интеграције држављана БиХ који се враћају по основу Споразума о реадмисији</t>
  </si>
  <si>
    <t>1070</t>
  </si>
  <si>
    <t>Приходи од пружања јавних услуга (А+Б+В)</t>
  </si>
  <si>
    <r>
      <t xml:space="preserve">Примици од наплате осталих зајмова датих радницима - </t>
    </r>
    <r>
      <rPr>
        <b/>
        <sz val="10"/>
        <rFont val="Times New Roman"/>
        <family val="1"/>
      </rPr>
      <t>ЈЗУ Дом здравља</t>
    </r>
  </si>
  <si>
    <r>
      <t>Примици по основу пореза на додату вриједност -</t>
    </r>
    <r>
      <rPr>
        <b/>
        <sz val="10"/>
        <rFont val="Times New Roman"/>
        <family val="1"/>
      </rPr>
      <t xml:space="preserve"> ЈЗУ Дом здравља</t>
    </r>
  </si>
  <si>
    <r>
      <t xml:space="preserve">Примици за накнаде плата за породиљско одсуство и за вријеме боловања који се рефундирају од фондова обавезног социјалног осигурања - </t>
    </r>
    <r>
      <rPr>
        <b/>
        <sz val="10"/>
        <rFont val="Times New Roman"/>
        <family val="1"/>
      </rPr>
      <t>ЈЗУ Дом здравља</t>
    </r>
  </si>
  <si>
    <r>
      <t>Издаци по основу пореза на додату вриједност -</t>
    </r>
    <r>
      <rPr>
        <b/>
        <sz val="11"/>
        <rFont val="Times New Roman"/>
        <family val="1"/>
      </rPr>
      <t xml:space="preserve"> ЈЗУ Дом здравља</t>
    </r>
  </si>
  <si>
    <t>Трошкови чишћења улица, тротоара и зелeних површина, трошкови прања улица и тротоара, кошења зелених површина, шишања живих ограда  и ванредни комунални послови по наруџби (сјечење растиња, одржавање дрвореда и сл.)</t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</si>
  <si>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Дјечији вртић " Наша радост" Прњавор
Број: 00750400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</si>
  <si>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</si>
  <si>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пољопривреду, водопривреду и шумарство
Број: 00750250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</si>
  <si>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Одсјек за јавне  набавке, правна питања и прописе
Број: 00750241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</si>
  <si>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заједничке послове
Број: 00750240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</si>
  <si>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инспекцијске послове</t>
    </r>
    <r>
      <rPr>
        <sz val="11"/>
        <rFont val="Times New Roman"/>
        <family val="1"/>
      </rPr>
      <t xml:space="preserve">
 </t>
    </r>
    <r>
      <rPr>
        <b/>
        <sz val="11"/>
        <rFont val="Times New Roman"/>
        <family val="1"/>
      </rPr>
      <t xml:space="preserve">  Број: 00750220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</si>
  <si>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борачко-инвалидску заштиту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00750180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</si>
  <si>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стамбено- комуналне послове и инвестиције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00750170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</si>
  <si>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просторно уређење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00750160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</si>
  <si>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локални економски развој и друштвене дјелатности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00750150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</si>
  <si>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финансије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</si>
  <si>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општу управу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00750130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</si>
  <si>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цивилну заштиту
Број: 00750126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</si>
  <si>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Кабинет начелника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</si>
  <si>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</si>
  <si>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Гимназија Прњавор
Број: 08150026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</si>
  <si>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средњих школа "Иво Андрић" Прњавор
Број: 08150027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</si>
  <si>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за културу Прњавор
Број: 08180011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</si>
  <si>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ЈУ Народна библиотека Прњавор
Број: 08180068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</si>
  <si>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Музичка школа "Константин Бабић " Прњавор
Број: 08400005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</si>
  <si>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Остала буџетска потрошња 
Број:  00750190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</si>
  <si>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Трезор општине Прњавор број:  9999999</t>
    </r>
  </si>
  <si>
    <t>Приходи општинских органа управе</t>
  </si>
  <si>
    <t>А) Приходи од пружања јавних услуга - Општинских органа управе</t>
  </si>
  <si>
    <r>
      <t xml:space="preserve">Б) </t>
    </r>
    <r>
      <rPr>
        <b/>
        <sz val="10"/>
        <rFont val="Times New Roman"/>
        <family val="1"/>
      </rPr>
      <t>Приходи од пружања јавних услуга</t>
    </r>
    <r>
      <rPr>
        <b/>
        <i/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>ЈУ Дом здравља Прњавор</t>
    </r>
  </si>
  <si>
    <t>В) Приходи од пружања јавних услуга - Остали буџетски корисници</t>
  </si>
  <si>
    <r>
      <t xml:space="preserve">Приходи од закупа унутар исте јединице власти - </t>
    </r>
    <r>
      <rPr>
        <b/>
        <sz val="10"/>
        <rFont val="Times New Roman"/>
        <family val="1"/>
      </rPr>
      <t>ЈЗУ Дом здравља</t>
    </r>
  </si>
  <si>
    <r>
      <t xml:space="preserve">Приходи из трансакција размјене унутар исте јединице власти - </t>
    </r>
    <r>
      <rPr>
        <b/>
        <sz val="10"/>
        <rFont val="Times New Roman"/>
        <family val="1"/>
      </rPr>
      <t>ЈЗУ Дом здравља</t>
    </r>
  </si>
  <si>
    <t>Контрол-РАСХОДИ</t>
  </si>
  <si>
    <t>Издаци-финансиранје</t>
  </si>
  <si>
    <r>
      <t>Набавка опреме</t>
    </r>
    <r>
      <rPr>
        <b/>
        <sz val="10"/>
        <color indexed="10"/>
        <rFont val="Times New Roman"/>
        <family val="1"/>
      </rPr>
      <t xml:space="preserve"> </t>
    </r>
  </si>
  <si>
    <t>Изградња спортске дворане</t>
  </si>
  <si>
    <t>Приходи од комерцијалних здравствених услуга</t>
  </si>
  <si>
    <t>Изградња парка у Улици Вељка Миланковића</t>
  </si>
  <si>
    <t>Дознаке на име соц. заштите које се исплаћују из буџета  општине</t>
  </si>
  <si>
    <t>Једнократне помоћи за свако рођено дијете</t>
  </si>
  <si>
    <t>Средства за пројекат "Старење и здравље"</t>
  </si>
  <si>
    <t xml:space="preserve">Средства за имплементацију и суфинансирање пројеката предвиђених Стратегијом развоја општине Прњавор 2022-2028. година </t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</si>
  <si>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ЈЗУ Дом здравља Прњавор
Број: 00750700</t>
    </r>
  </si>
  <si>
    <t>Реконструкција улице Илије и Алексе Малића</t>
  </si>
  <si>
    <t>Изградња водоводне мреже у МЗ Штрпци</t>
  </si>
  <si>
    <t>Изградња водоводне мреже у МЗ Поточани</t>
  </si>
  <si>
    <t>Изградња инфраструктуре у Пословно-туристичкој зони "Вијака"</t>
  </si>
  <si>
    <t>Израда пројекта и почетак радова на водоснабдијевању МЗ Кремна, Кулаши и Попвићи</t>
  </si>
  <si>
    <t>Израда пројеката за водоводе мјесних заједница: Доњи Гаљиповци, Чорле, Насеобина Лишња, Бабановци, Хрваћани, Просјек, Мрачај-Отпочиваљка и Орашје-Ново Село</t>
  </si>
  <si>
    <r>
      <t xml:space="preserve">Трошкови интеркаларне камате на примљени зајам </t>
    </r>
    <r>
      <rPr>
        <b/>
        <sz val="10"/>
        <rFont val="Times New Roman"/>
        <family val="1"/>
      </rPr>
      <t>(5 мил.  КМ)</t>
    </r>
  </si>
  <si>
    <r>
      <t>Трошкови обраде кредитне документације за примљене зајмове</t>
    </r>
    <r>
      <rPr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(5.мил.КМ)</t>
    </r>
  </si>
  <si>
    <t>Помоћ у реализацији пројеката заједница етажних власника</t>
  </si>
  <si>
    <t>Грант удружењу пољопривредних произвођача - мљекара РС</t>
  </si>
  <si>
    <t>Приходи и примици и финансирање</t>
  </si>
  <si>
    <t>Разлика (примици - расходи и издаци)</t>
  </si>
  <si>
    <t>Средства за рјешавање стамбеног питања породица погинулих бораца</t>
  </si>
  <si>
    <t>Реконструкција старе зграде општине и зграде Војног одсјека - Завичајног музеја Прњавор</t>
  </si>
  <si>
    <t xml:space="preserve">Субвенционисање набавке уџбеника за ученике основних школа </t>
  </si>
  <si>
    <t>Трошкови одржавања јавне расвјете (у граду и мјесним заједницама)</t>
  </si>
  <si>
    <t>Помоћ младима кроз старт-уп предузетништво</t>
  </si>
  <si>
    <t>5(6-4)</t>
  </si>
  <si>
    <t>7(6/4*100)</t>
  </si>
  <si>
    <t>4(5-3)</t>
  </si>
  <si>
    <t>6(7-5)</t>
  </si>
  <si>
    <t>5</t>
  </si>
  <si>
    <t>6(5/3*100)</t>
  </si>
  <si>
    <t>8(7/5*100)</t>
  </si>
  <si>
    <r>
      <t xml:space="preserve">Назив и број потрошачке јединице:
</t>
    </r>
    <r>
      <rPr>
        <b/>
        <sz val="11"/>
        <rFont val="Times New Roman"/>
        <family val="1"/>
      </rPr>
      <t xml:space="preserve">Територијална ватрогасно-спасилачка јединица Прњавор
Број: 00750125 </t>
    </r>
  </si>
  <si>
    <t>0721</t>
  </si>
  <si>
    <r>
      <t xml:space="preserve">Плакете, повеље, награде и признања општине - </t>
    </r>
    <r>
      <rPr>
        <b/>
        <sz val="10"/>
        <rFont val="Times New Roman"/>
        <family val="1"/>
      </rPr>
      <t>буџетска резерва</t>
    </r>
  </si>
  <si>
    <r>
      <t>Једнократне новчане помоћи појединцима -</t>
    </r>
    <r>
      <rPr>
        <b/>
        <sz val="10"/>
        <rFont val="Times New Roman"/>
        <family val="1"/>
      </rPr>
      <t xml:space="preserve"> буџетска резерва</t>
    </r>
  </si>
  <si>
    <r>
      <t>Средства за одржавање Фестивала националних мањина "Мала Европа" Прњавор -</t>
    </r>
    <r>
      <rPr>
        <b/>
        <sz val="10"/>
        <rFont val="Times New Roman"/>
        <family val="1"/>
      </rPr>
      <t xml:space="preserve"> буџетска резерва</t>
    </r>
  </si>
  <si>
    <r>
      <t>Финансирање Општинске организације слијепих  Прњавор -</t>
    </r>
    <r>
      <rPr>
        <b/>
        <sz val="10"/>
        <rFont val="Times New Roman"/>
        <family val="1"/>
      </rPr>
      <t xml:space="preserve"> буџетска резерва</t>
    </r>
  </si>
  <si>
    <r>
      <t>Грант приватним здравственим установама (новчане помоћи здравственим радницима) -</t>
    </r>
    <r>
      <rPr>
        <b/>
        <sz val="10"/>
        <rFont val="Times New Roman"/>
        <family val="1"/>
      </rPr>
      <t xml:space="preserve"> буџетска резерва</t>
    </r>
  </si>
  <si>
    <r>
      <t xml:space="preserve">Грант Универзитету у Источном Сарајеву, Економски факултет Пале - </t>
    </r>
    <r>
      <rPr>
        <b/>
        <sz val="10"/>
        <rFont val="Times New Roman"/>
        <family val="1"/>
      </rPr>
      <t>буџетска резерва</t>
    </r>
  </si>
  <si>
    <r>
      <t>Остали непоменути расходи -</t>
    </r>
    <r>
      <rPr>
        <b/>
        <sz val="10"/>
        <rFont val="Times New Roman"/>
        <family val="1"/>
      </rPr>
      <t xml:space="preserve"> буџетска резерва</t>
    </r>
  </si>
  <si>
    <r>
      <t xml:space="preserve">Расходи за текуће одржавање - </t>
    </r>
    <r>
      <rPr>
        <b/>
        <sz val="10"/>
        <rFont val="Times New Roman"/>
        <family val="1"/>
      </rPr>
      <t>текућа буџетска резерва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</si>
  <si>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</si>
  <si>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Издаци по основу аванса -</t>
    </r>
    <r>
      <rPr>
        <b/>
        <sz val="10"/>
        <rFont val="Times New Roman"/>
        <family val="1"/>
      </rPr>
      <t xml:space="preserve"> буџетска резерва</t>
    </r>
  </si>
  <si>
    <t>Текући грант појединцима - Средства за помоћ у лијечењу дјеце и младих обољелих од дијабетеса</t>
  </si>
  <si>
    <t>Расходи за таксе и накнаде за регистрацију</t>
  </si>
  <si>
    <t>Расходи из трансакције размјене унутар исте јединице власти</t>
  </si>
  <si>
    <t>Остали некласификовани расходи из трансакција унутар исте јединице власти</t>
  </si>
  <si>
    <t>Неизмирене обавезе из ранијег периода</t>
  </si>
  <si>
    <r>
      <t xml:space="preserve">Неизмирене обавезе из ранијег периода - </t>
    </r>
    <r>
      <rPr>
        <b/>
        <sz val="10"/>
        <rFont val="Times New Roman"/>
        <family val="1"/>
      </rPr>
      <t>ЈЗУ Дом здравља</t>
    </r>
  </si>
  <si>
    <t>Помоћ појединцима</t>
  </si>
  <si>
    <r>
      <t>Стипендије ученицима дефицитарних занимања -</t>
    </r>
    <r>
      <rPr>
        <b/>
        <sz val="10"/>
        <rFont val="Times New Roman"/>
        <family val="1"/>
      </rPr>
      <t xml:space="preserve"> из средстава
Министарства просвјете и културе</t>
    </r>
  </si>
  <si>
    <t>Неутрошена намјенска средства из 2021. године - трансфер Владе РС Центру средњих школа за санацију санитарног чвора</t>
  </si>
  <si>
    <t>Трансфер Министарства просвјете и културе РС Центру средњих школа "Иво Андрић" за стипендије и превоз ученика дефицитарних занимања</t>
  </si>
  <si>
    <t>Остали непоменути расходи - Светосавска награда из средстава Министарства просвјете и културе</t>
  </si>
  <si>
    <t>Трансфер Министарства просвјете и културе ЈУ Дјечији вртић "Наша радост" за додјелу Светосавске награде за радну 2020/21 годину</t>
  </si>
  <si>
    <t>Грант правних и физичких лица ЈУ Центар средњих школа "Иво Андрић" Прњавор за одлазак ученика на спортска такмичења</t>
  </si>
  <si>
    <r>
      <t>Грант Фонда за заштиту животне средине и енергетску ефикасност РС (</t>
    </r>
    <r>
      <rPr>
        <sz val="10"/>
        <rFont val="Times New Roman"/>
        <family val="1"/>
      </rPr>
      <t>набавка возила за комуналну отпад, приход остварен у 22 а расход у 21.г.)</t>
    </r>
  </si>
  <si>
    <r>
      <t xml:space="preserve">Остали непоменути расходи - </t>
    </r>
    <r>
      <rPr>
        <b/>
        <sz val="10"/>
        <rFont val="Times New Roman"/>
        <family val="1"/>
      </rPr>
      <t xml:space="preserve"> из донација за одлазак ученика на такмичење</t>
    </r>
  </si>
  <si>
    <t xml:space="preserve">Неутрошена намјенска средства из 2021. године -трансфер Министарсттва здравља и социјалне заштите РС Центру за социјални рад за суфинансирање програмских активности </t>
  </si>
  <si>
    <t>Издаци за набавку превозних средстава</t>
  </si>
  <si>
    <t>Примици од продаје сталне имовине намијењене продаји из обустављених пословања</t>
  </si>
  <si>
    <t>Примици од продаје сталне имовине  из обустављених пословања</t>
  </si>
  <si>
    <r>
      <t xml:space="preserve">Остали примици - </t>
    </r>
    <r>
      <rPr>
        <b/>
        <sz val="10"/>
        <rFont val="Times New Roman"/>
        <family val="1"/>
      </rPr>
      <t>средства ЈЗУ Дом здравља пренесена на ЈРТ преласком на трезорско пословање</t>
    </r>
  </si>
  <si>
    <t>0510</t>
  </si>
  <si>
    <t>Средства за постдипломце и докторанте</t>
  </si>
  <si>
    <t>0942</t>
  </si>
  <si>
    <r>
      <t xml:space="preserve">Трансфер општине Прњавор </t>
    </r>
    <r>
      <rPr>
        <b/>
        <sz val="10"/>
        <rFont val="Times New Roman"/>
        <family val="1"/>
      </rPr>
      <t>ЈЗУ Дом здравља  Прњавор</t>
    </r>
  </si>
  <si>
    <t>Приходи и примици</t>
  </si>
  <si>
    <t>Расходи и издаци</t>
  </si>
  <si>
    <t>расходи</t>
  </si>
  <si>
    <t>Неутрошена намјенска средства из 2021. године -трансфер Министарсттва просвјете и културе ЈУ Народна библиотека за набавку опреме</t>
  </si>
  <si>
    <r>
      <t xml:space="preserve">Набавка опреме - </t>
    </r>
    <r>
      <rPr>
        <b/>
        <sz val="10"/>
        <rFont val="Times New Roman"/>
        <family val="1"/>
      </rPr>
      <t>из пренесених неутрошених средстава Министарства здравља и социјалне заштите из 2021. години</t>
    </r>
  </si>
  <si>
    <r>
      <t>Набавка опреме -</t>
    </r>
    <r>
      <rPr>
        <b/>
        <sz val="10"/>
        <rFont val="Times New Roman"/>
        <family val="1"/>
      </rPr>
      <t xml:space="preserve"> из пренесених неутрошених средстава Министарства
 просвјете и културе РС из 2021.г.</t>
    </r>
  </si>
  <si>
    <r>
      <t xml:space="preserve">Трошкови обиљежавања значајних датума у мјесним заједницама - </t>
    </r>
    <r>
      <rPr>
        <b/>
        <sz val="10"/>
        <rFont val="Times New Roman"/>
        <family val="1"/>
      </rPr>
      <t>буџетска резерва</t>
    </r>
  </si>
  <si>
    <r>
      <t>Борачка организација општине Прњавор -</t>
    </r>
    <r>
      <rPr>
        <b/>
        <sz val="10"/>
        <rFont val="Times New Roman"/>
        <family val="1"/>
      </rPr>
      <t>буџетска резерва</t>
    </r>
  </si>
  <si>
    <r>
      <t xml:space="preserve">Удружење СУБНОР-а - </t>
    </r>
    <r>
      <rPr>
        <b/>
        <sz val="10"/>
        <rFont val="Times New Roman"/>
        <family val="1"/>
      </rPr>
      <t>буџетска резерва</t>
    </r>
  </si>
  <si>
    <t>Програм превентивне здравствене заштите становништва (трансакције размјене унутар исте јединице власти)</t>
  </si>
  <si>
    <t xml:space="preserve">ДРУГИ РЕБАЛАНС 
 БУЏЕТА ОПШТИНЕ ПРЊАВОР 
ЗА 2022. ГОДИНУ </t>
  </si>
  <si>
    <t>ТАБЕЛА 1.  ДРУГИ РЕБАЛАНС  БУЏЕТА ОПШТИНЕ ПРЊАВОР ЗА 2022. ГОДИНУ
- ОПШТИ ДИО</t>
  </si>
  <si>
    <t>ТАБЕЛА 2.  ДРУГИ РЕБАЛАНС  БУЏЕТА ОПШТИНЕ ПРЊАВОР ЗА 2022. ГОДИНУ
-БУЏЕТСКИ ПРИХОДИ И ПРИМИЦИ ЗА НЕФИНАНСИЈСКУ ИМОВИНУ</t>
  </si>
  <si>
    <t xml:space="preserve">  ТАБЕЛА 3.  ДРУГИ РЕБАЛАНС  БУЏЕТА ОПШТИНЕ ПРЊАВОР ЗА 2022. ГОДИНУ
-БУЏЕТСКИ РАСХОДИ И ИЗДАЦИ ЗА НЕФИНАНСИЈСКУ ИМОВИНУ        </t>
  </si>
  <si>
    <t>Ребаланс
 буџета за 
2022. г.</t>
  </si>
  <si>
    <t>ТАБЕЛА 4.  ДРУГИ РЕБАЛАНС  БУЏЕТА ОПШТИНЕ ПРЊАВОР ЗА 2022. ГОДИНУ
- ФИНАНСИРАЊЕ</t>
  </si>
  <si>
    <t>Други
 ребаланс 
 буџета
 за 2022. г.</t>
  </si>
  <si>
    <t xml:space="preserve"> ТАБЕЛА 5.  ДРУГИ РЕБАЛАНС  БУЏЕТА ОПШТИНЕ ПРЊАВОР ЗА 2022. ГОДИНУ
 - ОРГАНИЗАЦИОНА КЛАСИФИКАЦИЈА                                                                                                                                                                                    </t>
  </si>
  <si>
    <t>Други
 ребаланс
  буџета
 за 2022. г.</t>
  </si>
  <si>
    <t xml:space="preserve">  ТАБЕЛА 6.   ДРУГИ РЕБАЛАНС  БУЏЕТА ОПШТИНЕ ПРЊАВОР ЗА 2022. ГОДИНУ
- ФУНКЦИОНАЛНА КЛАСИФИКАЦИЈА </t>
  </si>
  <si>
    <t xml:space="preserve"> Ребаланс
 буџета  за 
2022. г.</t>
  </si>
  <si>
    <t>Други 
ребаланс
 буџета
 за 2022.г.</t>
  </si>
  <si>
    <t>Ребаланс 
буџет за 
2022. г.</t>
  </si>
  <si>
    <t>Други
ребаланс
 буџета
 за 2022.г.</t>
  </si>
  <si>
    <t>Други 
ребаланс
  буџета 
за 2022. г.</t>
  </si>
  <si>
    <t>Ребаланс 
буџета 
за 2022. г.</t>
  </si>
  <si>
    <t>Други 
ребаланс 
 буџета 
за 2022. г.</t>
  </si>
  <si>
    <t>Други 
ребаланс
  буџета 
за 2022.г.</t>
  </si>
  <si>
    <t>Расподјела суфицита</t>
  </si>
  <si>
    <t>Укупно финансиранје</t>
  </si>
  <si>
    <t>УКУПАН БУЏЕТ</t>
  </si>
  <si>
    <t>ДОМ ЗДРАВЉА</t>
  </si>
  <si>
    <t>Приходи</t>
  </si>
  <si>
    <t>Финансиранје</t>
  </si>
  <si>
    <t>РАСХОДИ</t>
  </si>
  <si>
    <t>РАЗЛИКА</t>
  </si>
  <si>
    <t>приходи и суфицит</t>
  </si>
  <si>
    <t>Разлика</t>
  </si>
  <si>
    <t>Izdaci za otplatu dugova</t>
  </si>
  <si>
    <t>Ostali izdaci</t>
  </si>
  <si>
    <t>Ukupno finansiranje</t>
  </si>
  <si>
    <t>UKUPNO RASHODI</t>
  </si>
  <si>
    <r>
      <t xml:space="preserve">Инвестиционо  одржавање, реконструкција и адаптација зграда и објеката - </t>
    </r>
    <r>
      <rPr>
        <b/>
        <sz val="10"/>
        <rFont val="Times New Roman"/>
        <family val="1"/>
      </rPr>
      <t>из  пренесених неутрошених средстава Владе РС дозначених у 2021.г. за санацију санитарног чвора</t>
    </r>
  </si>
  <si>
    <t xml:space="preserve">
Разлика
</t>
  </si>
  <si>
    <t xml:space="preserve">
Разлика  
</t>
  </si>
  <si>
    <t xml:space="preserve">
Разлика
 </t>
  </si>
  <si>
    <t>RAZLIKA</t>
  </si>
  <si>
    <t>ПРИХОДИ</t>
  </si>
  <si>
    <t>Трансфер Министарства здравља и социјалне заштите РС Центру за социјални рад за накнаде за личну инвалиднинупројекат "Оброк за кориснике новчане помоћи"</t>
  </si>
  <si>
    <t>УКУПНИ ПРИХОДИ</t>
  </si>
  <si>
    <r>
      <t>Остали текући грантови -</t>
    </r>
    <r>
      <rPr>
        <b/>
        <sz val="10"/>
        <rFont val="Times New Roman"/>
        <family val="1"/>
      </rPr>
      <t xml:space="preserve"> буџетска резерва</t>
    </r>
  </si>
  <si>
    <t>Остали непоменути расходи - извршење рјешења за уклањање објекта</t>
  </si>
  <si>
    <t>Трансфер Владе РС општини Прњавор за суфинансирање реконструкције локалног пута Г.Вијачани-Сабањска ријека (Програм јавних инвестиција РС за 2022.г. -Сл.гл.РС, број 73/22)</t>
  </si>
  <si>
    <t>Трансфер Владе РС општини Прњавор за реконструкцију локалних путева и градских улица на подручју пштине (Програм јавних инвестиција РС за 2022.г. -Сл.гл.РС, број 84/22)</t>
  </si>
  <si>
    <t>Трансфер Владе РС општини Прњавор за санацију четири клизишта на локалном путу Кокори-Чивчије-Бранешци (Програм јавних инвестиција РС за 2022.г.-Сл.гл.РС, број 60/22)</t>
  </si>
  <si>
    <t>Санација четири клизишта на локалном путу Кокори-Чивчије-Бранешци из средстава Владе РС (Програм јавних инвестиција РС за 2022.г.-Сл.гл.РС, број 60/22)</t>
  </si>
  <si>
    <t>Суфинансирање реконструкције локалног пута Г.Вијачани-Сабањска ријека из средстава Владе РС (Програм јавни инвестиција РС за 2022.г.-Сл.гл. РС, број 73/22)</t>
  </si>
  <si>
    <t>Реконструкција локалних путева и градских улица на подручју општине Прњавор из средстава Владе РС (Програм јавних инвестиција РС за 2022.г. -Сл.гл. РС, број 84/22)</t>
  </si>
  <si>
    <t xml:space="preserve">Трошкови ископа, чишћења канала и других земљаних радова </t>
  </si>
  <si>
    <t xml:space="preserve">Набавка возила за одвоз комуналног отпада </t>
  </si>
  <si>
    <r>
      <t>Реализација пројекта "Оброк за кориснике новчане помоћи"-</t>
    </r>
    <r>
      <rPr>
        <b/>
        <sz val="10"/>
        <rFont val="Times New Roman"/>
        <family val="1"/>
      </rPr>
      <t xml:space="preserve"> из средстава Министарства здравља и социјалне заштите РС</t>
    </r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</si>
</sst>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0.0"/>
    <numFmt numFmtId="187" formatCode="#,##0.00;[Red]#,##0.00"/>
    <numFmt numFmtId="188" formatCode="0.000000000"/>
    <numFmt numFmtId="189" formatCode="0.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sz val="12"/>
      <name val="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2EEE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double"/>
      <right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>
        <color indexed="63"/>
      </top>
      <bottom>
        <color indexed="63"/>
      </bottom>
    </border>
    <border>
      <left/>
      <right style="thin"/>
      <top/>
      <bottom/>
    </border>
    <border>
      <left style="double"/>
      <right/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 style="thin"/>
      <bottom style="double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3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12" fillId="33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1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13" borderId="11" xfId="0" applyFont="1" applyFill="1" applyBorder="1" applyAlignment="1">
      <alignment horizontal="left" vertical="center"/>
    </xf>
    <xf numFmtId="4" fontId="16" fillId="13" borderId="11" xfId="0" applyNumberFormat="1" applyFont="1" applyFill="1" applyBorder="1" applyAlignment="1">
      <alignment horizontal="right" vertical="center"/>
    </xf>
    <xf numFmtId="4" fontId="16" fillId="13" borderId="12" xfId="0" applyNumberFormat="1" applyFont="1" applyFill="1" applyBorder="1" applyAlignment="1">
      <alignment horizontal="right" vertical="center"/>
    </xf>
    <xf numFmtId="4" fontId="16" fillId="13" borderId="13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/>
    </xf>
    <xf numFmtId="4" fontId="16" fillId="34" borderId="11" xfId="0" applyNumberFormat="1" applyFont="1" applyFill="1" applyBorder="1" applyAlignment="1">
      <alignment horizontal="right" vertical="center"/>
    </xf>
    <xf numFmtId="4" fontId="16" fillId="35" borderId="11" xfId="0" applyNumberFormat="1" applyFont="1" applyFill="1" applyBorder="1" applyAlignment="1">
      <alignment horizontal="right" vertical="center"/>
    </xf>
    <xf numFmtId="4" fontId="16" fillId="35" borderId="12" xfId="0" applyNumberFormat="1" applyFont="1" applyFill="1" applyBorder="1" applyAlignment="1">
      <alignment horizontal="right" vertical="center"/>
    </xf>
    <xf numFmtId="4" fontId="16" fillId="34" borderId="13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4" fontId="16" fillId="36" borderId="11" xfId="0" applyNumberFormat="1" applyFont="1" applyFill="1" applyBorder="1" applyAlignment="1">
      <alignment horizontal="right" vertical="center"/>
    </xf>
    <xf numFmtId="4" fontId="16" fillId="37" borderId="11" xfId="0" applyNumberFormat="1" applyFont="1" applyFill="1" applyBorder="1" applyAlignment="1">
      <alignment horizontal="right" vertical="center"/>
    </xf>
    <xf numFmtId="4" fontId="16" fillId="37" borderId="12" xfId="0" applyNumberFormat="1" applyFont="1" applyFill="1" applyBorder="1" applyAlignment="1">
      <alignment horizontal="right" vertical="center"/>
    </xf>
    <xf numFmtId="4" fontId="16" fillId="37" borderId="13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/>
    </xf>
    <xf numFmtId="4" fontId="19" fillId="38" borderId="11" xfId="0" applyNumberFormat="1" applyFont="1" applyFill="1" applyBorder="1" applyAlignment="1">
      <alignment horizontal="right" vertical="center"/>
    </xf>
    <xf numFmtId="4" fontId="19" fillId="38" borderId="12" xfId="0" applyNumberFormat="1" applyFont="1" applyFill="1" applyBorder="1" applyAlignment="1">
      <alignment horizontal="right" vertical="center"/>
    </xf>
    <xf numFmtId="4" fontId="19" fillId="38" borderId="13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16" fillId="38" borderId="11" xfId="0" applyNumberFormat="1" applyFont="1" applyFill="1" applyBorder="1" applyAlignment="1">
      <alignment horizontal="right" vertical="center"/>
    </xf>
    <xf numFmtId="4" fontId="16" fillId="38" borderId="13" xfId="0" applyNumberFormat="1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 wrapText="1"/>
    </xf>
    <xf numFmtId="4" fontId="16" fillId="36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left" vertical="center" wrapText="1"/>
    </xf>
    <xf numFmtId="0" fontId="16" fillId="13" borderId="11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6" fillId="13" borderId="14" xfId="0" applyFont="1" applyFill="1" applyBorder="1" applyAlignment="1">
      <alignment vertical="center" wrapText="1"/>
    </xf>
    <xf numFmtId="4" fontId="16" fillId="13" borderId="14" xfId="0" applyNumberFormat="1" applyFont="1" applyFill="1" applyBorder="1" applyAlignment="1">
      <alignment horizontal="right" vertical="center" wrapText="1"/>
    </xf>
    <xf numFmtId="4" fontId="16" fillId="13" borderId="14" xfId="0" applyNumberFormat="1" applyFont="1" applyFill="1" applyBorder="1" applyAlignment="1">
      <alignment horizontal="right" vertical="center"/>
    </xf>
    <xf numFmtId="4" fontId="16" fillId="13" borderId="1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right" vertical="center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 vertical="center" wrapText="1"/>
    </xf>
    <xf numFmtId="4" fontId="2" fillId="38" borderId="0" xfId="0" applyNumberFormat="1" applyFont="1" applyFill="1" applyBorder="1" applyAlignment="1">
      <alignment horizontal="right" vertical="center" wrapText="1"/>
    </xf>
    <xf numFmtId="4" fontId="17" fillId="38" borderId="0" xfId="0" applyNumberFormat="1" applyFont="1" applyFill="1" applyBorder="1" applyAlignment="1">
      <alignment horizontal="right" vertical="center"/>
    </xf>
    <xf numFmtId="4" fontId="19" fillId="38" borderId="11" xfId="0" applyNumberFormat="1" applyFont="1" applyFill="1" applyBorder="1" applyAlignment="1">
      <alignment horizontal="right" vertical="center"/>
    </xf>
    <xf numFmtId="0" fontId="19" fillId="38" borderId="10" xfId="0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4" fontId="24" fillId="39" borderId="22" xfId="0" applyNumberFormat="1" applyFont="1" applyFill="1" applyBorder="1" applyAlignment="1">
      <alignment horizontal="right" vertical="center"/>
    </xf>
    <xf numFmtId="4" fontId="24" fillId="39" borderId="23" xfId="0" applyNumberFormat="1" applyFont="1" applyFill="1" applyBorder="1" applyAlignment="1">
      <alignment horizontal="right" vertical="center"/>
    </xf>
    <xf numFmtId="4" fontId="19" fillId="39" borderId="24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 wrapText="1"/>
    </xf>
    <xf numFmtId="4" fontId="24" fillId="38" borderId="23" xfId="0" applyNumberFormat="1" applyFont="1" applyFill="1" applyBorder="1" applyAlignment="1">
      <alignment horizontal="right" vertical="center"/>
    </xf>
    <xf numFmtId="4" fontId="24" fillId="39" borderId="11" xfId="0" applyNumberFormat="1" applyFont="1" applyFill="1" applyBorder="1" applyAlignment="1">
      <alignment horizontal="right" vertical="center"/>
    </xf>
    <xf numFmtId="4" fontId="19" fillId="39" borderId="13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23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4" fontId="25" fillId="34" borderId="25" xfId="0" applyNumberFormat="1" applyFont="1" applyFill="1" applyBorder="1" applyAlignment="1">
      <alignment horizontal="right" vertical="center"/>
    </xf>
    <xf numFmtId="4" fontId="25" fillId="35" borderId="23" xfId="0" applyNumberFormat="1" applyFont="1" applyFill="1" applyBorder="1" applyAlignment="1">
      <alignment horizontal="right" vertical="center"/>
    </xf>
    <xf numFmtId="4" fontId="24" fillId="0" borderId="17" xfId="0" applyNumberFormat="1" applyFont="1" applyFill="1" applyBorder="1" applyAlignment="1">
      <alignment vertical="center"/>
    </xf>
    <xf numFmtId="4" fontId="24" fillId="0" borderId="18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vertical="center"/>
    </xf>
    <xf numFmtId="4" fontId="24" fillId="0" borderId="19" xfId="0" applyNumberFormat="1" applyFont="1" applyFill="1" applyBorder="1" applyAlignment="1">
      <alignment horizontal="right" vertical="center"/>
    </xf>
    <xf numFmtId="4" fontId="24" fillId="0" borderId="20" xfId="0" applyNumberFormat="1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horizontal="right" vertical="center"/>
    </xf>
    <xf numFmtId="4" fontId="24" fillId="0" borderId="22" xfId="0" applyNumberFormat="1" applyFont="1" applyFill="1" applyBorder="1" applyAlignment="1">
      <alignment vertical="center"/>
    </xf>
    <xf numFmtId="4" fontId="24" fillId="38" borderId="22" xfId="0" applyNumberFormat="1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horizontal="left" vertical="center" wrapText="1"/>
    </xf>
    <xf numFmtId="4" fontId="25" fillId="34" borderId="11" xfId="0" applyNumberFormat="1" applyFont="1" applyFill="1" applyBorder="1" applyAlignment="1">
      <alignment horizontal="right" vertical="center"/>
    </xf>
    <xf numFmtId="4" fontId="16" fillId="35" borderId="13" xfId="0" applyNumberFormat="1" applyFont="1" applyFill="1" applyBorder="1" applyAlignment="1">
      <alignment horizontal="right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4" fontId="16" fillId="0" borderId="19" xfId="0" applyNumberFormat="1" applyFont="1" applyFill="1" applyBorder="1" applyAlignment="1">
      <alignment horizontal="right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right" vertical="center"/>
    </xf>
    <xf numFmtId="4" fontId="16" fillId="0" borderId="21" xfId="0" applyNumberFormat="1" applyFont="1" applyFill="1" applyBorder="1" applyAlignment="1">
      <alignment horizontal="right" vertical="center"/>
    </xf>
    <xf numFmtId="2" fontId="19" fillId="39" borderId="24" xfId="0" applyNumberFormat="1" applyFont="1" applyFill="1" applyBorder="1" applyAlignment="1">
      <alignment horizontal="right" vertical="center"/>
    </xf>
    <xf numFmtId="2" fontId="19" fillId="38" borderId="13" xfId="0" applyNumberFormat="1" applyFont="1" applyFill="1" applyBorder="1" applyAlignment="1">
      <alignment horizontal="right" vertical="center"/>
    </xf>
    <xf numFmtId="4" fontId="24" fillId="39" borderId="12" xfId="0" applyNumberFormat="1" applyFont="1" applyFill="1" applyBorder="1" applyAlignment="1">
      <alignment horizontal="right" vertical="center"/>
    </xf>
    <xf numFmtId="2" fontId="19" fillId="39" borderId="13" xfId="0" applyNumberFormat="1" applyFont="1" applyFill="1" applyBorder="1" applyAlignment="1">
      <alignment horizontal="right" vertical="center"/>
    </xf>
    <xf numFmtId="2" fontId="16" fillId="35" borderId="13" xfId="0" applyNumberFormat="1" applyFont="1" applyFill="1" applyBorder="1" applyAlignment="1">
      <alignment horizontal="right" vertical="center"/>
    </xf>
    <xf numFmtId="4" fontId="25" fillId="0" borderId="17" xfId="0" applyNumberFormat="1" applyFont="1" applyFill="1" applyBorder="1" applyAlignment="1">
      <alignment vertical="center"/>
    </xf>
    <xf numFmtId="4" fontId="25" fillId="0" borderId="18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5" fillId="0" borderId="19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4" fontId="24" fillId="38" borderId="11" xfId="0" applyNumberFormat="1" applyFont="1" applyFill="1" applyBorder="1" applyAlignment="1">
      <alignment horizontal="right" vertical="center"/>
    </xf>
    <xf numFmtId="4" fontId="24" fillId="38" borderId="12" xfId="0" applyNumberFormat="1" applyFont="1" applyFill="1" applyBorder="1" applyAlignment="1">
      <alignment horizontal="right" vertical="center"/>
    </xf>
    <xf numFmtId="4" fontId="72" fillId="38" borderId="23" xfId="0" applyNumberFormat="1" applyFont="1" applyFill="1" applyBorder="1" applyAlignment="1">
      <alignment horizontal="right" vertical="center"/>
    </xf>
    <xf numFmtId="4" fontId="19" fillId="38" borderId="23" xfId="0" applyNumberFormat="1" applyFont="1" applyFill="1" applyBorder="1" applyAlignment="1">
      <alignment horizontal="right" vertical="center"/>
    </xf>
    <xf numFmtId="4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horizontal="right" vertical="center"/>
    </xf>
    <xf numFmtId="4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 wrapText="1"/>
    </xf>
    <xf numFmtId="4" fontId="24" fillId="37" borderId="12" xfId="0" applyNumberFormat="1" applyFont="1" applyFill="1" applyBorder="1" applyAlignment="1">
      <alignment horizontal="right" vertical="center"/>
    </xf>
    <xf numFmtId="4" fontId="24" fillId="37" borderId="23" xfId="0" applyNumberFormat="1" applyFont="1" applyFill="1" applyBorder="1" applyAlignment="1">
      <alignment horizontal="right" vertical="center"/>
    </xf>
    <xf numFmtId="49" fontId="19" fillId="33" borderId="32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vertical="center" wrapText="1"/>
    </xf>
    <xf numFmtId="4" fontId="19" fillId="38" borderId="24" xfId="0" applyNumberFormat="1" applyFont="1" applyFill="1" applyBorder="1" applyAlignment="1">
      <alignment horizontal="right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right" vertical="center"/>
    </xf>
    <xf numFmtId="4" fontId="19" fillId="39" borderId="12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/>
    </xf>
    <xf numFmtId="4" fontId="24" fillId="40" borderId="11" xfId="0" applyNumberFormat="1" applyFont="1" applyFill="1" applyBorder="1" applyAlignment="1">
      <alignment vertical="center"/>
    </xf>
    <xf numFmtId="4" fontId="24" fillId="40" borderId="11" xfId="0" applyNumberFormat="1" applyFont="1" applyFill="1" applyBorder="1" applyAlignment="1">
      <alignment horizontal="right" vertical="center"/>
    </xf>
    <xf numFmtId="4" fontId="24" fillId="40" borderId="13" xfId="0" applyNumberFormat="1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vertical="center"/>
    </xf>
    <xf numFmtId="4" fontId="72" fillId="0" borderId="11" xfId="0" applyNumberFormat="1" applyFont="1" applyBorder="1" applyAlignment="1">
      <alignment vertical="center"/>
    </xf>
    <xf numFmtId="49" fontId="19" fillId="38" borderId="11" xfId="0" applyNumberFormat="1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 wrapText="1"/>
    </xf>
    <xf numFmtId="4" fontId="25" fillId="35" borderId="11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left" vertical="center" wrapText="1"/>
    </xf>
    <xf numFmtId="4" fontId="24" fillId="39" borderId="12" xfId="0" applyNumberFormat="1" applyFont="1" applyFill="1" applyBorder="1" applyAlignment="1">
      <alignment horizontal="right" vertical="center" wrapText="1"/>
    </xf>
    <xf numFmtId="4" fontId="24" fillId="39" borderId="11" xfId="0" applyNumberFormat="1" applyFont="1" applyFill="1" applyBorder="1" applyAlignment="1">
      <alignment horizontal="right" vertical="center" wrapText="1"/>
    </xf>
    <xf numFmtId="49" fontId="72" fillId="0" borderId="16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right" vertical="center"/>
    </xf>
    <xf numFmtId="2" fontId="16" fillId="0" borderId="19" xfId="0" applyNumberFormat="1" applyFont="1" applyFill="1" applyBorder="1" applyAlignment="1">
      <alignment horizontal="right" vertical="center"/>
    </xf>
    <xf numFmtId="2" fontId="16" fillId="0" borderId="21" xfId="0" applyNumberFormat="1" applyFont="1" applyFill="1" applyBorder="1" applyAlignment="1">
      <alignment horizontal="right" vertical="center"/>
    </xf>
    <xf numFmtId="4" fontId="24" fillId="41" borderId="23" xfId="0" applyNumberFormat="1" applyFont="1" applyFill="1" applyBorder="1" applyAlignment="1">
      <alignment horizontal="right" vertical="center"/>
    </xf>
    <xf numFmtId="4" fontId="26" fillId="33" borderId="33" xfId="0" applyNumberFormat="1" applyFont="1" applyFill="1" applyBorder="1" applyAlignment="1">
      <alignment vertical="center"/>
    </xf>
    <xf numFmtId="4" fontId="26" fillId="33" borderId="34" xfId="0" applyNumberFormat="1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right"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49" fontId="16" fillId="38" borderId="11" xfId="0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right" vertical="center"/>
    </xf>
    <xf numFmtId="49" fontId="19" fillId="38" borderId="16" xfId="0" applyNumberFormat="1" applyFont="1" applyFill="1" applyBorder="1" applyAlignment="1">
      <alignment horizontal="center" vertical="center"/>
    </xf>
    <xf numFmtId="2" fontId="16" fillId="37" borderId="13" xfId="0" applyNumberFormat="1" applyFont="1" applyFill="1" applyBorder="1" applyAlignment="1">
      <alignment horizontal="right" vertical="center"/>
    </xf>
    <xf numFmtId="4" fontId="19" fillId="37" borderId="12" xfId="0" applyNumberFormat="1" applyFont="1" applyFill="1" applyBorder="1" applyAlignment="1">
      <alignment horizontal="right" vertical="center"/>
    </xf>
    <xf numFmtId="4" fontId="25" fillId="0" borderId="20" xfId="0" applyNumberFormat="1" applyFont="1" applyFill="1" applyBorder="1" applyAlignment="1">
      <alignment vertical="center"/>
    </xf>
    <xf numFmtId="4" fontId="25" fillId="0" borderId="2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2" fontId="19" fillId="33" borderId="24" xfId="0" applyNumberFormat="1" applyFont="1" applyFill="1" applyBorder="1" applyAlignment="1">
      <alignment horizontal="right" vertical="center"/>
    </xf>
    <xf numFmtId="4" fontId="25" fillId="34" borderId="14" xfId="0" applyNumberFormat="1" applyFont="1" applyFill="1" applyBorder="1" applyAlignment="1">
      <alignment horizontal="right" vertical="center"/>
    </xf>
    <xf numFmtId="4" fontId="25" fillId="35" borderId="14" xfId="0" applyNumberFormat="1" applyFont="1" applyFill="1" applyBorder="1" applyAlignment="1">
      <alignment horizontal="right" vertical="center"/>
    </xf>
    <xf numFmtId="2" fontId="16" fillId="35" borderId="15" xfId="0" applyNumberFormat="1" applyFont="1" applyFill="1" applyBorder="1" applyAlignment="1">
      <alignment horizontal="right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/>
    </xf>
    <xf numFmtId="0" fontId="19" fillId="33" borderId="16" xfId="0" applyFont="1" applyFill="1" applyBorder="1" applyAlignment="1">
      <alignment horizontal="right" vertical="center"/>
    </xf>
    <xf numFmtId="0" fontId="16" fillId="42" borderId="11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4" fontId="19" fillId="0" borderId="11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6" fillId="38" borderId="11" xfId="0" applyFont="1" applyFill="1" applyBorder="1" applyAlignment="1">
      <alignment horizontal="left" vertical="center" wrapText="1"/>
    </xf>
    <xf numFmtId="0" fontId="19" fillId="0" borderId="1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right" vertical="center"/>
    </xf>
    <xf numFmtId="0" fontId="16" fillId="38" borderId="37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2" fontId="16" fillId="0" borderId="38" xfId="0" applyNumberFormat="1" applyFont="1" applyFill="1" applyBorder="1" applyAlignment="1">
      <alignment horizontal="center" vertical="center" wrapText="1"/>
    </xf>
    <xf numFmtId="2" fontId="16" fillId="0" borderId="36" xfId="0" applyNumberFormat="1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vertical="center"/>
    </xf>
    <xf numFmtId="2" fontId="16" fillId="13" borderId="13" xfId="0" applyNumberFormat="1" applyFont="1" applyFill="1" applyBorder="1" applyAlignment="1">
      <alignment horizontal="right" vertical="center"/>
    </xf>
    <xf numFmtId="0" fontId="16" fillId="42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right" vertical="center"/>
    </xf>
    <xf numFmtId="0" fontId="16" fillId="36" borderId="11" xfId="0" applyFont="1" applyFill="1" applyBorder="1" applyAlignment="1">
      <alignment vertical="center" wrapText="1"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6" fillId="36" borderId="11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left" vertical="center"/>
    </xf>
    <xf numFmtId="4" fontId="16" fillId="36" borderId="11" xfId="0" applyNumberFormat="1" applyFont="1" applyFill="1" applyBorder="1" applyAlignment="1">
      <alignment vertical="center"/>
    </xf>
    <xf numFmtId="0" fontId="19" fillId="38" borderId="16" xfId="0" applyFont="1" applyFill="1" applyBorder="1" applyAlignment="1">
      <alignment horizontal="right" vertical="center"/>
    </xf>
    <xf numFmtId="0" fontId="16" fillId="42" borderId="11" xfId="0" applyFont="1" applyFill="1" applyBorder="1" applyAlignment="1">
      <alignment vertical="center" wrapText="1"/>
    </xf>
    <xf numFmtId="0" fontId="16" fillId="13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vertical="center"/>
    </xf>
    <xf numFmtId="0" fontId="19" fillId="0" borderId="37" xfId="0" applyFont="1" applyBorder="1" applyAlignment="1">
      <alignment/>
    </xf>
    <xf numFmtId="2" fontId="16" fillId="13" borderId="15" xfId="0" applyNumberFormat="1" applyFont="1" applyFill="1" applyBorder="1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4" fontId="16" fillId="34" borderId="12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/>
    </xf>
    <xf numFmtId="4" fontId="19" fillId="0" borderId="12" xfId="0" applyNumberFormat="1" applyFont="1" applyFill="1" applyBorder="1" applyAlignment="1">
      <alignment horizontal="right" vertical="center" wrapText="1"/>
    </xf>
    <xf numFmtId="0" fontId="16" fillId="37" borderId="11" xfId="0" applyFont="1" applyFill="1" applyBorder="1" applyAlignment="1">
      <alignment vertical="center" wrapText="1"/>
    </xf>
    <xf numFmtId="0" fontId="16" fillId="35" borderId="1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2" fontId="16" fillId="0" borderId="40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vertical="center"/>
    </xf>
    <xf numFmtId="0" fontId="16" fillId="35" borderId="37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left" vertical="center" wrapText="1"/>
    </xf>
    <xf numFmtId="4" fontId="16" fillId="35" borderId="14" xfId="0" applyNumberFormat="1" applyFont="1" applyFill="1" applyBorder="1" applyAlignment="1">
      <alignment horizontal="right" vertical="center"/>
    </xf>
    <xf numFmtId="4" fontId="16" fillId="35" borderId="15" xfId="0" applyNumberFormat="1" applyFont="1" applyFill="1" applyBorder="1" applyAlignment="1">
      <alignment horizontal="right" vertical="center"/>
    </xf>
    <xf numFmtId="0" fontId="16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4" fontId="19" fillId="0" borderId="43" xfId="0" applyNumberFormat="1" applyFont="1" applyBorder="1" applyAlignment="1">
      <alignment horizontal="right" vertical="center"/>
    </xf>
    <xf numFmtId="2" fontId="19" fillId="0" borderId="44" xfId="0" applyNumberFormat="1" applyFont="1" applyBorder="1" applyAlignment="1">
      <alignment horizontal="right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/>
    </xf>
    <xf numFmtId="2" fontId="19" fillId="0" borderId="47" xfId="0" applyNumberFormat="1" applyFont="1" applyBorder="1" applyAlignment="1">
      <alignment horizontal="right" vertical="center"/>
    </xf>
    <xf numFmtId="4" fontId="16" fillId="35" borderId="48" xfId="0" applyNumberFormat="1" applyFont="1" applyFill="1" applyBorder="1" applyAlignment="1">
      <alignment horizontal="right" vertical="center"/>
    </xf>
    <xf numFmtId="4" fontId="16" fillId="35" borderId="49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vertical="center"/>
    </xf>
    <xf numFmtId="4" fontId="72" fillId="0" borderId="23" xfId="0" applyNumberFormat="1" applyFont="1" applyFill="1" applyBorder="1" applyAlignment="1">
      <alignment horizontal="right" vertical="center"/>
    </xf>
    <xf numFmtId="0" fontId="16" fillId="38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/>
    </xf>
    <xf numFmtId="0" fontId="19" fillId="38" borderId="11" xfId="0" applyFont="1" applyFill="1" applyBorder="1" applyAlignment="1">
      <alignment horizontal="right" vertical="center" wrapText="1"/>
    </xf>
    <xf numFmtId="0" fontId="16" fillId="38" borderId="11" xfId="0" applyFont="1" applyFill="1" applyBorder="1" applyAlignment="1">
      <alignment horizontal="right" vertical="center" wrapText="1"/>
    </xf>
    <xf numFmtId="4" fontId="73" fillId="0" borderId="0" xfId="0" applyNumberFormat="1" applyFont="1" applyAlignment="1">
      <alignment horizontal="right" vertical="center"/>
    </xf>
    <xf numFmtId="0" fontId="74" fillId="0" borderId="0" xfId="0" applyFont="1" applyAlignment="1">
      <alignment vertical="center"/>
    </xf>
    <xf numFmtId="2" fontId="74" fillId="0" borderId="0" xfId="0" applyNumberFormat="1" applyFont="1" applyAlignment="1">
      <alignment vertical="center"/>
    </xf>
    <xf numFmtId="4" fontId="74" fillId="0" borderId="0" xfId="0" applyNumberFormat="1" applyFont="1" applyAlignment="1">
      <alignment vertical="center"/>
    </xf>
    <xf numFmtId="4" fontId="16" fillId="37" borderId="11" xfId="0" applyNumberFormat="1" applyFont="1" applyFill="1" applyBorder="1" applyAlignment="1">
      <alignment horizontal="right" vertical="center"/>
    </xf>
    <xf numFmtId="4" fontId="19" fillId="38" borderId="13" xfId="0" applyNumberFormat="1" applyFont="1" applyFill="1" applyBorder="1" applyAlignment="1">
      <alignment horizontal="right" vertical="center"/>
    </xf>
    <xf numFmtId="4" fontId="16" fillId="43" borderId="13" xfId="0" applyNumberFormat="1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0" fontId="19" fillId="0" borderId="11" xfId="0" applyFont="1" applyBorder="1" applyAlignment="1">
      <alignment vertical="center" wrapText="1"/>
    </xf>
    <xf numFmtId="4" fontId="19" fillId="38" borderId="23" xfId="0" applyNumberFormat="1" applyFont="1" applyFill="1" applyBorder="1" applyAlignment="1">
      <alignment horizontal="right" vertical="center"/>
    </xf>
    <xf numFmtId="2" fontId="19" fillId="38" borderId="13" xfId="0" applyNumberFormat="1" applyFont="1" applyFill="1" applyBorder="1" applyAlignment="1">
      <alignment horizontal="right" vertical="center"/>
    </xf>
    <xf numFmtId="0" fontId="16" fillId="33" borderId="22" xfId="0" applyFont="1" applyFill="1" applyBorder="1" applyAlignment="1">
      <alignment vertical="center" wrapText="1"/>
    </xf>
    <xf numFmtId="4" fontId="16" fillId="37" borderId="23" xfId="0" applyNumberFormat="1" applyFont="1" applyFill="1" applyBorder="1" applyAlignment="1">
      <alignment horizontal="right" vertical="center"/>
    </xf>
    <xf numFmtId="4" fontId="25" fillId="37" borderId="23" xfId="0" applyNumberFormat="1" applyFont="1" applyFill="1" applyBorder="1" applyAlignment="1">
      <alignment horizontal="right" vertical="center"/>
    </xf>
    <xf numFmtId="4" fontId="16" fillId="37" borderId="24" xfId="0" applyNumberFormat="1" applyFont="1" applyFill="1" applyBorder="1" applyAlignment="1">
      <alignment horizontal="right" vertical="center"/>
    </xf>
    <xf numFmtId="4" fontId="25" fillId="38" borderId="33" xfId="0" applyNumberFormat="1" applyFont="1" applyFill="1" applyBorder="1" applyAlignment="1">
      <alignment horizontal="right" vertical="center"/>
    </xf>
    <xf numFmtId="4" fontId="25" fillId="38" borderId="33" xfId="0" applyNumberFormat="1" applyFont="1" applyFill="1" applyBorder="1" applyAlignment="1">
      <alignment horizontal="right" vertical="center"/>
    </xf>
    <xf numFmtId="4" fontId="24" fillId="38" borderId="22" xfId="0" applyNumberFormat="1" applyFont="1" applyFill="1" applyBorder="1" applyAlignment="1">
      <alignment horizontal="right" vertical="center"/>
    </xf>
    <xf numFmtId="2" fontId="19" fillId="38" borderId="24" xfId="0" applyNumberFormat="1" applyFont="1" applyFill="1" applyBorder="1" applyAlignment="1">
      <alignment horizontal="right" vertical="center"/>
    </xf>
    <xf numFmtId="2" fontId="16" fillId="38" borderId="34" xfId="0" applyNumberFormat="1" applyFont="1" applyFill="1" applyBorder="1" applyAlignment="1">
      <alignment horizontal="right" vertical="center"/>
    </xf>
    <xf numFmtId="49" fontId="16" fillId="38" borderId="11" xfId="0" applyNumberFormat="1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 wrapText="1"/>
    </xf>
    <xf numFmtId="0" fontId="28" fillId="38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4" fontId="25" fillId="41" borderId="11" xfId="0" applyNumberFormat="1" applyFont="1" applyFill="1" applyBorder="1" applyAlignment="1">
      <alignment horizontal="right" vertical="center"/>
    </xf>
    <xf numFmtId="4" fontId="24" fillId="41" borderId="22" xfId="0" applyNumberFormat="1" applyFont="1" applyFill="1" applyBorder="1" applyAlignment="1">
      <alignment horizontal="right" vertical="center"/>
    </xf>
    <xf numFmtId="2" fontId="19" fillId="41" borderId="24" xfId="0" applyNumberFormat="1" applyFont="1" applyFill="1" applyBorder="1" applyAlignment="1">
      <alignment horizontal="right" vertical="center"/>
    </xf>
    <xf numFmtId="4" fontId="25" fillId="35" borderId="11" xfId="0" applyNumberFormat="1" applyFont="1" applyFill="1" applyBorder="1" applyAlignment="1">
      <alignment horizontal="right" vertical="center"/>
    </xf>
    <xf numFmtId="4" fontId="25" fillId="35" borderId="22" xfId="0" applyNumberFormat="1" applyFont="1" applyFill="1" applyBorder="1" applyAlignment="1">
      <alignment horizontal="right" vertical="center"/>
    </xf>
    <xf numFmtId="2" fontId="16" fillId="35" borderId="24" xfId="0" applyNumberFormat="1" applyFont="1" applyFill="1" applyBorder="1" applyAlignment="1">
      <alignment horizontal="right" vertical="center"/>
    </xf>
    <xf numFmtId="4" fontId="24" fillId="38" borderId="11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right" vertical="center"/>
    </xf>
    <xf numFmtId="4" fontId="16" fillId="38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19" fillId="38" borderId="16" xfId="0" applyFont="1" applyFill="1" applyBorder="1" applyAlignment="1">
      <alignment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6" fillId="38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left" vertical="center"/>
    </xf>
    <xf numFmtId="0" fontId="19" fillId="38" borderId="11" xfId="0" applyFont="1" applyFill="1" applyBorder="1" applyAlignment="1">
      <alignment horizontal="left" vertical="center" wrapText="1"/>
    </xf>
    <xf numFmtId="0" fontId="16" fillId="38" borderId="11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 wrapText="1"/>
    </xf>
    <xf numFmtId="49" fontId="30" fillId="38" borderId="11" xfId="0" applyNumberFormat="1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33" borderId="5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6" fillId="38" borderId="10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right" vertical="center"/>
    </xf>
    <xf numFmtId="4" fontId="25" fillId="35" borderId="23" xfId="0" applyNumberFormat="1" applyFont="1" applyFill="1" applyBorder="1" applyAlignment="1">
      <alignment horizontal="right" vertical="center"/>
    </xf>
    <xf numFmtId="4" fontId="25" fillId="35" borderId="12" xfId="0" applyNumberFormat="1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/>
    </xf>
    <xf numFmtId="49" fontId="19" fillId="38" borderId="32" xfId="0" applyNumberFormat="1" applyFont="1" applyFill="1" applyBorder="1" applyAlignment="1">
      <alignment horizontal="center" vertical="center"/>
    </xf>
    <xf numFmtId="0" fontId="16" fillId="38" borderId="22" xfId="0" applyFont="1" applyFill="1" applyBorder="1" applyAlignment="1">
      <alignment horizontal="center" vertical="center"/>
    </xf>
    <xf numFmtId="0" fontId="19" fillId="38" borderId="22" xfId="0" applyFont="1" applyFill="1" applyBorder="1" applyAlignment="1">
      <alignment horizontal="right" vertical="center"/>
    </xf>
    <xf numFmtId="0" fontId="19" fillId="38" borderId="22" xfId="0" applyFont="1" applyFill="1" applyBorder="1" applyAlignment="1">
      <alignment vertical="center" wrapText="1"/>
    </xf>
    <xf numFmtId="4" fontId="16" fillId="35" borderId="1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2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6" fillId="38" borderId="23" xfId="0" applyNumberFormat="1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4" fontId="19" fillId="41" borderId="23" xfId="0" applyNumberFormat="1" applyFont="1" applyFill="1" applyBorder="1" applyAlignment="1">
      <alignment horizontal="right" vertical="center"/>
    </xf>
    <xf numFmtId="4" fontId="0" fillId="38" borderId="0" xfId="0" applyNumberFormat="1" applyFill="1" applyAlignment="1">
      <alignment/>
    </xf>
    <xf numFmtId="4" fontId="16" fillId="44" borderId="13" xfId="0" applyNumberFormat="1" applyFont="1" applyFill="1" applyBorder="1" applyAlignment="1">
      <alignment horizontal="right" vertical="center"/>
    </xf>
    <xf numFmtId="4" fontId="16" fillId="30" borderId="11" xfId="0" applyNumberFormat="1" applyFont="1" applyFill="1" applyBorder="1" applyAlignment="1">
      <alignment horizontal="right" vertical="center"/>
    </xf>
    <xf numFmtId="4" fontId="16" fillId="30" borderId="1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" fontId="19" fillId="0" borderId="51" xfId="0" applyNumberFormat="1" applyFont="1" applyBorder="1" applyAlignment="1">
      <alignment horizontal="right" vertical="center"/>
    </xf>
    <xf numFmtId="4" fontId="19" fillId="0" borderId="46" xfId="0" applyNumberFormat="1" applyFont="1" applyBorder="1" applyAlignment="1">
      <alignment horizontal="right" vertical="center"/>
    </xf>
    <xf numFmtId="2" fontId="19" fillId="38" borderId="24" xfId="0" applyNumberFormat="1" applyFont="1" applyFill="1" applyBorder="1" applyAlignment="1">
      <alignment horizontal="right" vertical="center"/>
    </xf>
    <xf numFmtId="4" fontId="24" fillId="38" borderId="13" xfId="0" applyNumberFormat="1" applyFont="1" applyFill="1" applyBorder="1" applyAlignment="1">
      <alignment horizontal="right" vertical="center"/>
    </xf>
    <xf numFmtId="4" fontId="24" fillId="41" borderId="11" xfId="0" applyNumberFormat="1" applyFont="1" applyFill="1" applyBorder="1" applyAlignment="1">
      <alignment horizontal="right" vertical="center"/>
    </xf>
    <xf numFmtId="4" fontId="19" fillId="37" borderId="24" xfId="0" applyNumberFormat="1" applyFont="1" applyFill="1" applyBorder="1" applyAlignment="1">
      <alignment horizontal="right" vertical="center"/>
    </xf>
    <xf numFmtId="2" fontId="19" fillId="37" borderId="24" xfId="0" applyNumberFormat="1" applyFont="1" applyFill="1" applyBorder="1" applyAlignment="1">
      <alignment horizontal="right" vertical="center"/>
    </xf>
    <xf numFmtId="4" fontId="16" fillId="35" borderId="24" xfId="0" applyNumberFormat="1" applyFont="1" applyFill="1" applyBorder="1" applyAlignment="1">
      <alignment horizontal="right" vertical="center"/>
    </xf>
    <xf numFmtId="4" fontId="16" fillId="35" borderId="13" xfId="0" applyNumberFormat="1" applyFont="1" applyFill="1" applyBorder="1" applyAlignment="1">
      <alignment horizontal="right" vertical="center"/>
    </xf>
    <xf numFmtId="4" fontId="25" fillId="35" borderId="13" xfId="0" applyNumberFormat="1" applyFont="1" applyFill="1" applyBorder="1" applyAlignment="1">
      <alignment horizontal="right" vertical="center"/>
    </xf>
    <xf numFmtId="2" fontId="16" fillId="35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 vertical="center" wrapText="1"/>
    </xf>
    <xf numFmtId="2" fontId="19" fillId="41" borderId="24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52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4" fontId="16" fillId="38" borderId="13" xfId="0" applyNumberFormat="1" applyFont="1" applyFill="1" applyBorder="1" applyAlignment="1">
      <alignment horizontal="right" vertical="center"/>
    </xf>
    <xf numFmtId="4" fontId="0" fillId="38" borderId="0" xfId="0" applyNumberFormat="1" applyFont="1" applyFill="1" applyAlignment="1">
      <alignment/>
    </xf>
    <xf numFmtId="4" fontId="19" fillId="0" borderId="0" xfId="0" applyNumberFormat="1" applyFont="1" applyBorder="1" applyAlignment="1">
      <alignment vertical="center"/>
    </xf>
    <xf numFmtId="4" fontId="16" fillId="33" borderId="33" xfId="0" applyNumberFormat="1" applyFont="1" applyFill="1" applyBorder="1" applyAlignment="1">
      <alignment vertical="center"/>
    </xf>
    <xf numFmtId="4" fontId="16" fillId="45" borderId="11" xfId="0" applyNumberFormat="1" applyFont="1" applyFill="1" applyBorder="1" applyAlignment="1">
      <alignment horizontal="right" vertical="center"/>
    </xf>
    <xf numFmtId="4" fontId="16" fillId="45" borderId="13" xfId="0" applyNumberFormat="1" applyFont="1" applyFill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2" fontId="33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2" fontId="3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2" fontId="16" fillId="0" borderId="53" xfId="0" applyNumberFormat="1" applyFont="1" applyFill="1" applyBorder="1" applyAlignment="1">
      <alignment horizontal="center" vertical="center" wrapText="1"/>
    </xf>
    <xf numFmtId="4" fontId="19" fillId="46" borderId="0" xfId="0" applyNumberFormat="1" applyFont="1" applyFill="1" applyAlignment="1">
      <alignment horizontal="right" vertical="center"/>
    </xf>
    <xf numFmtId="4" fontId="0" fillId="46" borderId="0" xfId="0" applyNumberFormat="1" applyFill="1" applyAlignment="1">
      <alignment/>
    </xf>
    <xf numFmtId="0" fontId="0" fillId="46" borderId="0" xfId="0" applyFill="1" applyAlignment="1">
      <alignment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38" borderId="39" xfId="0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6" fillId="38" borderId="36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8" borderId="52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6" fillId="38" borderId="59" xfId="0" applyFont="1" applyFill="1" applyBorder="1" applyAlignment="1">
      <alignment horizontal="center" vertical="center" wrapText="1"/>
    </xf>
    <xf numFmtId="0" fontId="16" fillId="38" borderId="31" xfId="0" applyFont="1" applyFill="1" applyBorder="1" applyAlignment="1">
      <alignment horizontal="center" vertical="center" wrapText="1"/>
    </xf>
    <xf numFmtId="0" fontId="16" fillId="38" borderId="38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11</xdr:col>
      <xdr:colOff>28575</xdr:colOff>
      <xdr:row>8</xdr:row>
      <xdr:rowOff>47625</xdr:rowOff>
    </xdr:to>
    <xdr:pic>
      <xdr:nvPicPr>
        <xdr:cNvPr id="1" name="Picture 37" descr="01 1_1  CIRI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5762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09">
      <selection activeCell="D33" sqref="D33"/>
    </sheetView>
  </sheetViews>
  <sheetFormatPr defaultColWidth="9.140625" defaultRowHeight="12.75"/>
  <sheetData>
    <row r="1" spans="1:13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ht="12.75" customHeight="1"/>
    <row r="6" ht="12.75" customHeight="1"/>
    <row r="7" ht="12.75" customHeight="1"/>
    <row r="8" spans="9:11" ht="15">
      <c r="I8" s="13"/>
      <c r="J8" s="13"/>
      <c r="K8" s="13"/>
    </row>
    <row r="9" spans="9:11" ht="15">
      <c r="I9" s="13"/>
      <c r="J9" s="14"/>
      <c r="K9" s="13"/>
    </row>
    <row r="10" spans="9:11" ht="15">
      <c r="I10" s="13"/>
      <c r="J10" s="14"/>
      <c r="K10" s="13"/>
    </row>
    <row r="11" spans="1:13" ht="12.75" customHeight="1">
      <c r="A11" s="459"/>
      <c r="B11" s="459"/>
      <c r="C11" s="459"/>
      <c r="D11" s="459"/>
      <c r="E11" s="459"/>
      <c r="F11" s="459"/>
      <c r="G11" s="459"/>
      <c r="H11" s="461"/>
      <c r="I11" s="462"/>
      <c r="J11" s="463"/>
      <c r="K11" s="464"/>
      <c r="L11" s="459"/>
      <c r="M11" s="459"/>
    </row>
    <row r="12" spans="1:13" ht="12.75" customHeight="1">
      <c r="A12" s="459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</row>
    <row r="13" spans="1:13" ht="0.75" customHeight="1">
      <c r="A13" s="459"/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</row>
    <row r="14" spans="1:13" ht="19.5" customHeight="1">
      <c r="A14" s="459"/>
      <c r="B14" s="459"/>
      <c r="C14" s="459"/>
      <c r="D14" s="459"/>
      <c r="E14" s="459"/>
      <c r="F14" s="459"/>
      <c r="G14" s="459"/>
      <c r="H14" s="459"/>
      <c r="I14" s="459"/>
      <c r="J14" s="463"/>
      <c r="K14" s="465"/>
      <c r="L14" s="466"/>
      <c r="M14" s="459"/>
    </row>
    <row r="15" spans="1:13" ht="15.75">
      <c r="A15" s="459"/>
      <c r="B15" s="459"/>
      <c r="C15" s="459"/>
      <c r="D15" s="459"/>
      <c r="E15" s="459"/>
      <c r="F15" s="459"/>
      <c r="G15" s="459"/>
      <c r="H15" s="459"/>
      <c r="I15" s="459"/>
      <c r="J15" s="459"/>
      <c r="K15" s="474"/>
      <c r="L15" s="474"/>
      <c r="M15" s="474"/>
    </row>
    <row r="16" ht="6" customHeight="1"/>
    <row r="17" ht="12.75" customHeight="1"/>
    <row r="18" spans="1:13" ht="12.75" customHeight="1">
      <c r="A18" s="472" t="s">
        <v>678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</row>
    <row r="19" spans="1:13" ht="12.75" customHeight="1">
      <c r="A19" s="472"/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</row>
    <row r="20" spans="1:13" ht="34.5" customHeight="1">
      <c r="A20" s="472"/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</row>
    <row r="21" spans="1:13" ht="16.5" customHeight="1">
      <c r="A21" s="472"/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</row>
    <row r="22" ht="12.75" customHeight="1"/>
    <row r="23" ht="9" customHeight="1"/>
    <row r="26" spans="1:13" ht="12.75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</row>
    <row r="27" spans="1:13" ht="12.75">
      <c r="A27" s="459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</row>
    <row r="28" spans="1:13" ht="15.75">
      <c r="A28" s="460"/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59"/>
    </row>
    <row r="29" spans="1:13" ht="15.75">
      <c r="A29" s="460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59"/>
    </row>
    <row r="30" spans="1:13" ht="12.75">
      <c r="A30" s="459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</row>
    <row r="31" spans="1:13" ht="12.75">
      <c r="A31" s="459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</row>
    <row r="32" spans="1:13" ht="12.75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</row>
    <row r="33" spans="1:13" ht="15.75">
      <c r="A33" s="36"/>
      <c r="B33" s="36"/>
      <c r="C33" s="36"/>
      <c r="D33" s="36"/>
      <c r="E33" s="36"/>
      <c r="F33" s="36"/>
      <c r="G33" s="36"/>
      <c r="H33" s="473"/>
      <c r="I33" s="473"/>
      <c r="J33" s="473"/>
      <c r="K33" s="473"/>
      <c r="L33" s="473"/>
      <c r="M33" s="473"/>
    </row>
    <row r="34" spans="1:13" ht="15.75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</row>
  </sheetData>
  <sheetProtection/>
  <mergeCells count="4">
    <mergeCell ref="A18:M21"/>
    <mergeCell ref="H33:M33"/>
    <mergeCell ref="K15:M15"/>
    <mergeCell ref="A34:M34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63">
      <selection activeCell="B79" sqref="B79"/>
    </sheetView>
  </sheetViews>
  <sheetFormatPr defaultColWidth="9.140625" defaultRowHeight="12.75"/>
  <cols>
    <col min="1" max="1" width="11.00390625" style="0" bestFit="1" customWidth="1"/>
    <col min="2" max="2" width="58.00390625" style="0" customWidth="1"/>
    <col min="3" max="5" width="16.140625" style="21" customWidth="1"/>
    <col min="6" max="6" width="11.28125" style="21" customWidth="1"/>
    <col min="7" max="7" width="9.140625" style="0" customWidth="1"/>
    <col min="8" max="8" width="14.8515625" style="0" customWidth="1"/>
  </cols>
  <sheetData>
    <row r="1" spans="1:6" ht="47.25" customHeight="1" thickBot="1">
      <c r="A1" s="475" t="s">
        <v>679</v>
      </c>
      <c r="B1" s="475"/>
      <c r="C1" s="475"/>
      <c r="D1" s="475"/>
      <c r="E1" s="475"/>
      <c r="F1" s="475"/>
    </row>
    <row r="2" spans="1:6" ht="18.75" customHeight="1" thickTop="1">
      <c r="A2" s="476" t="s">
        <v>57</v>
      </c>
      <c r="B2" s="478" t="s">
        <v>201</v>
      </c>
      <c r="C2" s="482" t="s">
        <v>682</v>
      </c>
      <c r="D2" s="484" t="s">
        <v>711</v>
      </c>
      <c r="E2" s="484" t="s">
        <v>692</v>
      </c>
      <c r="F2" s="480" t="s">
        <v>109</v>
      </c>
    </row>
    <row r="3" spans="1:6" ht="34.5" customHeight="1">
      <c r="A3" s="477"/>
      <c r="B3" s="479"/>
      <c r="C3" s="483"/>
      <c r="D3" s="485"/>
      <c r="E3" s="485"/>
      <c r="F3" s="481"/>
    </row>
    <row r="4" spans="1:6" s="5" customFormat="1" ht="12.75" customHeight="1">
      <c r="A4" s="110">
        <v>1</v>
      </c>
      <c r="B4" s="107">
        <v>2</v>
      </c>
      <c r="C4" s="108">
        <v>3</v>
      </c>
      <c r="D4" s="108" t="s">
        <v>627</v>
      </c>
      <c r="E4" s="108">
        <v>5</v>
      </c>
      <c r="F4" s="109" t="s">
        <v>630</v>
      </c>
    </row>
    <row r="5" spans="1:6" ht="18" customHeight="1">
      <c r="A5" s="275"/>
      <c r="B5" s="53" t="s">
        <v>243</v>
      </c>
      <c r="C5" s="299">
        <f>C6+C13+C19+C21</f>
        <v>24199645.07</v>
      </c>
      <c r="D5" s="299">
        <f>D6+D13+D19+D21</f>
        <v>2951629.9299999997</v>
      </c>
      <c r="E5" s="299">
        <f>E6+E13+E19+E21</f>
        <v>27151275</v>
      </c>
      <c r="F5" s="57">
        <f aca="true" t="shared" si="0" ref="F5:F25">E5/C5*100</f>
        <v>112.19699678016806</v>
      </c>
    </row>
    <row r="6" spans="1:6" ht="15" customHeight="1">
      <c r="A6" s="300">
        <v>710000</v>
      </c>
      <c r="B6" s="301" t="s">
        <v>213</v>
      </c>
      <c r="C6" s="63">
        <f>C7+C8+C9+C10+C11+C12</f>
        <v>15142600</v>
      </c>
      <c r="D6" s="63">
        <f>D7+D8+D9+D10+D11+D12</f>
        <v>330000</v>
      </c>
      <c r="E6" s="63">
        <f>E7+E8+E9+E10+E11+E12</f>
        <v>15472600</v>
      </c>
      <c r="F6" s="64">
        <f t="shared" si="0"/>
        <v>102.17928228969926</v>
      </c>
    </row>
    <row r="7" spans="1:6" ht="12" customHeight="1">
      <c r="A7" s="267">
        <v>711100</v>
      </c>
      <c r="B7" s="67" t="s">
        <v>183</v>
      </c>
      <c r="C7" s="153">
        <f>'B.pr. i prim. za nef. im.'!D7</f>
        <v>600</v>
      </c>
      <c r="D7" s="153">
        <f>'B.pr. i prim. za nef. im.'!E7</f>
        <v>0</v>
      </c>
      <c r="E7" s="153">
        <f>'B.pr. i prim. za nef. im.'!F7</f>
        <v>600</v>
      </c>
      <c r="F7" s="334">
        <f t="shared" si="0"/>
        <v>100</v>
      </c>
    </row>
    <row r="8" spans="1:6" ht="12.75">
      <c r="A8" s="267">
        <v>713000</v>
      </c>
      <c r="B8" s="75" t="s">
        <v>4</v>
      </c>
      <c r="C8" s="153">
        <f>'B.pr. i prim. za nef. im.'!D9</f>
        <v>1090000</v>
      </c>
      <c r="D8" s="153">
        <f>'B.pr. i prim. za nef. im.'!E9</f>
        <v>85000</v>
      </c>
      <c r="E8" s="153">
        <f>'B.pr. i prim. za nef. im.'!F9</f>
        <v>1175000</v>
      </c>
      <c r="F8" s="334">
        <f t="shared" si="0"/>
        <v>107.79816513761469</v>
      </c>
    </row>
    <row r="9" spans="1:6" ht="14.25" customHeight="1">
      <c r="A9" s="267">
        <v>714000</v>
      </c>
      <c r="B9" s="75" t="s">
        <v>8</v>
      </c>
      <c r="C9" s="153">
        <f>'B.pr. i prim. za nef. im.'!D12</f>
        <v>250000</v>
      </c>
      <c r="D9" s="153">
        <f>'B.pr. i prim. za nef. im.'!E12</f>
        <v>10000</v>
      </c>
      <c r="E9" s="153">
        <f>'B.pr. i prim. za nef. im.'!F12</f>
        <v>260000</v>
      </c>
      <c r="F9" s="334">
        <f t="shared" si="0"/>
        <v>104</v>
      </c>
    </row>
    <row r="10" spans="1:6" ht="14.25" customHeight="1">
      <c r="A10" s="267">
        <v>715000</v>
      </c>
      <c r="B10" s="75" t="s">
        <v>151</v>
      </c>
      <c r="C10" s="153">
        <f>'B.pr. i prim. za nef. im.'!D14</f>
        <v>2000</v>
      </c>
      <c r="D10" s="153">
        <f>'B.pr. i prim. za nef. im.'!E14</f>
        <v>0</v>
      </c>
      <c r="E10" s="153">
        <f>'B.pr. i prim. za nef. im.'!F14</f>
        <v>2000</v>
      </c>
      <c r="F10" s="334">
        <f t="shared" si="0"/>
        <v>100</v>
      </c>
    </row>
    <row r="11" spans="1:6" ht="14.25" customHeight="1">
      <c r="A11" s="267">
        <v>717000</v>
      </c>
      <c r="B11" s="67" t="s">
        <v>300</v>
      </c>
      <c r="C11" s="153">
        <f>'B.pr. i prim. za nef. im.'!D18</f>
        <v>12800000</v>
      </c>
      <c r="D11" s="153">
        <f>'B.pr. i prim. za nef. im.'!E18</f>
        <v>135000</v>
      </c>
      <c r="E11" s="153">
        <f>'B.pr. i prim. za nef. im.'!F18</f>
        <v>12935000</v>
      </c>
      <c r="F11" s="334">
        <f t="shared" si="0"/>
        <v>101.0546875</v>
      </c>
    </row>
    <row r="12" spans="1:6" ht="14.25" customHeight="1">
      <c r="A12" s="267">
        <v>719000</v>
      </c>
      <c r="B12" s="75" t="s">
        <v>301</v>
      </c>
      <c r="C12" s="153">
        <f>'B.pr. i prim. za nef. im.'!D20</f>
        <v>1000000</v>
      </c>
      <c r="D12" s="153">
        <f>'B.pr. i prim. za nef. im.'!E20</f>
        <v>100000</v>
      </c>
      <c r="E12" s="153">
        <f>'B.pr. i prim. za nef. im.'!F20</f>
        <v>1100000</v>
      </c>
      <c r="F12" s="334">
        <f t="shared" si="0"/>
        <v>110.00000000000001</v>
      </c>
    </row>
    <row r="13" spans="1:8" ht="15" customHeight="1">
      <c r="A13" s="300">
        <v>720000</v>
      </c>
      <c r="B13" s="301" t="s">
        <v>216</v>
      </c>
      <c r="C13" s="63">
        <f>SUM(C14:C18)</f>
        <v>7274272.18</v>
      </c>
      <c r="D13" s="63">
        <f>SUM(D14:D18)</f>
        <v>1002297.82</v>
      </c>
      <c r="E13" s="63">
        <f>SUM(E14:E18)</f>
        <v>8276570</v>
      </c>
      <c r="F13" s="64">
        <f t="shared" si="0"/>
        <v>113.77866809487462</v>
      </c>
      <c r="H13" s="1"/>
    </row>
    <row r="14" spans="1:8" ht="14.25" customHeight="1">
      <c r="A14" s="271">
        <v>721000</v>
      </c>
      <c r="B14" s="67" t="s">
        <v>152</v>
      </c>
      <c r="C14" s="153">
        <f>'B.pr. i prim. za nef. im.'!D23</f>
        <v>331300</v>
      </c>
      <c r="D14" s="153">
        <f>'B.pr. i prim. za nef. im.'!E23</f>
        <v>-41300</v>
      </c>
      <c r="E14" s="153">
        <f>'B.pr. i prim. za nef. im.'!F23</f>
        <v>290000</v>
      </c>
      <c r="F14" s="334">
        <f t="shared" si="0"/>
        <v>87.53395713854513</v>
      </c>
      <c r="H14" s="1"/>
    </row>
    <row r="15" spans="1:6" ht="14.25" customHeight="1">
      <c r="A15" s="271">
        <v>722000</v>
      </c>
      <c r="B15" s="72" t="s">
        <v>155</v>
      </c>
      <c r="C15" s="153">
        <f>'B.pr. i prim. za nef. im.'!D31</f>
        <v>6534516.779999999</v>
      </c>
      <c r="D15" s="153">
        <f>'B.pr. i prim. za nef. im.'!E31</f>
        <v>1058953.22</v>
      </c>
      <c r="E15" s="153">
        <f>'B.pr. i prim. za nef. im.'!F31</f>
        <v>7593470</v>
      </c>
      <c r="F15" s="334">
        <f t="shared" si="0"/>
        <v>116.20553218626826</v>
      </c>
    </row>
    <row r="16" spans="1:6" ht="14.25" customHeight="1">
      <c r="A16" s="271">
        <v>723000</v>
      </c>
      <c r="B16" s="75" t="s">
        <v>19</v>
      </c>
      <c r="C16" s="302">
        <f>'B.pr. i prim. za nef. im.'!D77</f>
        <v>40900</v>
      </c>
      <c r="D16" s="302">
        <f>'B.pr. i prim. za nef. im.'!E77</f>
        <v>4100</v>
      </c>
      <c r="E16" s="302">
        <f>'B.pr. i prim. za nef. im.'!F77</f>
        <v>45000</v>
      </c>
      <c r="F16" s="334">
        <f t="shared" si="0"/>
        <v>110.02444987775061</v>
      </c>
    </row>
    <row r="17" spans="1:6" ht="25.5" customHeight="1">
      <c r="A17" s="292">
        <v>728000</v>
      </c>
      <c r="B17" s="363" t="s">
        <v>549</v>
      </c>
      <c r="C17" s="302">
        <f>'B.pr. i prim. za nef. im.'!D79</f>
        <v>33100</v>
      </c>
      <c r="D17" s="302">
        <f>'B.pr. i prim. za nef. im.'!E79</f>
        <v>0</v>
      </c>
      <c r="E17" s="302">
        <f>'B.pr. i prim. za nef. im.'!F79</f>
        <v>33100</v>
      </c>
      <c r="F17" s="334">
        <f t="shared" si="0"/>
        <v>100</v>
      </c>
    </row>
    <row r="18" spans="1:6" ht="12.75">
      <c r="A18" s="271">
        <v>729000</v>
      </c>
      <c r="B18" s="72" t="s">
        <v>20</v>
      </c>
      <c r="C18" s="302">
        <f>'B.pr. i prim. za nef. im.'!D82</f>
        <v>334455.4</v>
      </c>
      <c r="D18" s="302">
        <f>'B.pr. i prim. za nef. im.'!E82</f>
        <v>-19455.400000000023</v>
      </c>
      <c r="E18" s="302">
        <f>'B.pr. i prim. za nef. im.'!F82</f>
        <v>315000</v>
      </c>
      <c r="F18" s="334">
        <f t="shared" si="0"/>
        <v>94.18296131561935</v>
      </c>
    </row>
    <row r="19" spans="1:6" ht="15" customHeight="1">
      <c r="A19" s="300">
        <v>730000</v>
      </c>
      <c r="B19" s="303" t="s">
        <v>222</v>
      </c>
      <c r="C19" s="63">
        <f>C20</f>
        <v>90400</v>
      </c>
      <c r="D19" s="63">
        <f>D20</f>
        <v>0</v>
      </c>
      <c r="E19" s="63">
        <f>E20</f>
        <v>90400</v>
      </c>
      <c r="F19" s="64">
        <f t="shared" si="0"/>
        <v>100</v>
      </c>
    </row>
    <row r="20" spans="1:6" ht="15" customHeight="1">
      <c r="A20" s="267">
        <v>731000</v>
      </c>
      <c r="B20" s="93" t="s">
        <v>133</v>
      </c>
      <c r="C20" s="153">
        <f>'B.pr. i prim. za nef. im.'!D84</f>
        <v>90400</v>
      </c>
      <c r="D20" s="153">
        <f>'B.pr. i prim. za nef. im.'!E84</f>
        <v>0</v>
      </c>
      <c r="E20" s="153">
        <f>'B.pr. i prim. za nef. im.'!F84</f>
        <v>90400</v>
      </c>
      <c r="F20" s="334">
        <f t="shared" si="0"/>
        <v>100</v>
      </c>
    </row>
    <row r="21" spans="1:8" s="2" customFormat="1" ht="15" customHeight="1">
      <c r="A21" s="300">
        <v>780000</v>
      </c>
      <c r="B21" s="266" t="s">
        <v>302</v>
      </c>
      <c r="C21" s="63">
        <f>C22</f>
        <v>1692372.89</v>
      </c>
      <c r="D21" s="63">
        <f>D22</f>
        <v>1619332.1099999999</v>
      </c>
      <c r="E21" s="63">
        <f>E22</f>
        <v>3311705</v>
      </c>
      <c r="F21" s="64">
        <f t="shared" si="0"/>
        <v>195.68412018228443</v>
      </c>
      <c r="H21"/>
    </row>
    <row r="22" spans="1:8" s="2" customFormat="1" ht="15" customHeight="1">
      <c r="A22" s="267">
        <v>787000</v>
      </c>
      <c r="B22" s="75" t="s">
        <v>303</v>
      </c>
      <c r="C22" s="153">
        <f>'B.pr. i prim. za nef. im.'!D91</f>
        <v>1692372.89</v>
      </c>
      <c r="D22" s="153">
        <f>'B.pr. i prim. za nef. im.'!E91</f>
        <v>1619332.1099999999</v>
      </c>
      <c r="E22" s="153">
        <f>'B.pr. i prim. za nef. im.'!F91</f>
        <v>3311705</v>
      </c>
      <c r="F22" s="334">
        <f t="shared" si="0"/>
        <v>195.68412018228443</v>
      </c>
      <c r="H22"/>
    </row>
    <row r="23" spans="1:8" s="2" customFormat="1" ht="15" customHeight="1">
      <c r="A23" s="271"/>
      <c r="B23" s="53" t="s">
        <v>306</v>
      </c>
      <c r="C23" s="56">
        <f>C24+C33+C35</f>
        <v>19760290.000000004</v>
      </c>
      <c r="D23" s="56">
        <f>D24+D33+D35</f>
        <v>1376373.77</v>
      </c>
      <c r="E23" s="56">
        <f>E24+E33+E35</f>
        <v>21136663.77</v>
      </c>
      <c r="F23" s="57">
        <f t="shared" si="0"/>
        <v>106.96535207732273</v>
      </c>
      <c r="H23"/>
    </row>
    <row r="24" spans="1:8" s="2" customFormat="1" ht="15" customHeight="1">
      <c r="A24" s="300">
        <v>410000</v>
      </c>
      <c r="B24" s="266" t="s">
        <v>244</v>
      </c>
      <c r="C24" s="63">
        <f>SUM(C25:C32)</f>
        <v>19413847.770000003</v>
      </c>
      <c r="D24" s="63">
        <f>SUM(D25:D32)</f>
        <v>1420625.47</v>
      </c>
      <c r="E24" s="63">
        <f>SUM(E25:E32)</f>
        <v>20834473.24</v>
      </c>
      <c r="F24" s="64">
        <f t="shared" si="0"/>
        <v>107.31758838758007</v>
      </c>
      <c r="H24" s="1"/>
    </row>
    <row r="25" spans="1:8" s="2" customFormat="1" ht="14.25" customHeight="1">
      <c r="A25" s="267">
        <v>411000</v>
      </c>
      <c r="B25" s="93" t="s">
        <v>118</v>
      </c>
      <c r="C25" s="153">
        <f>'B.rash. i izdaci za nef. im.'!C6</f>
        <v>9431030</v>
      </c>
      <c r="D25" s="153">
        <f>'B.rash. i izdaci za nef. im.'!D6</f>
        <v>519230</v>
      </c>
      <c r="E25" s="153">
        <f>'B.rash. i izdaci za nef. im.'!E6</f>
        <v>9950260</v>
      </c>
      <c r="F25" s="334">
        <f t="shared" si="0"/>
        <v>105.50554923481317</v>
      </c>
      <c r="H25" s="1"/>
    </row>
    <row r="26" spans="1:8" s="2" customFormat="1" ht="12.75">
      <c r="A26" s="267">
        <v>412000</v>
      </c>
      <c r="B26" s="203" t="s">
        <v>119</v>
      </c>
      <c r="C26" s="94">
        <f>'B.rash. i izdaci za nef. im.'!C11</f>
        <v>3588891.62</v>
      </c>
      <c r="D26" s="94">
        <f>'B.rash. i izdaci za nef. im.'!D11</f>
        <v>657553.1699999999</v>
      </c>
      <c r="E26" s="94">
        <f>'B.rash. i izdaci za nef. im.'!E11</f>
        <v>4246444.79</v>
      </c>
      <c r="F26" s="334">
        <f aca="true" t="shared" si="1" ref="F26:F32">E26/C26*100</f>
        <v>118.32190101076388</v>
      </c>
      <c r="H26"/>
    </row>
    <row r="27" spans="1:8" s="2" customFormat="1" ht="12.75">
      <c r="A27" s="267">
        <v>413000</v>
      </c>
      <c r="B27" s="67" t="s">
        <v>129</v>
      </c>
      <c r="C27" s="153">
        <f>'B.rash. i izdaci za nef. im.'!C21</f>
        <v>220000</v>
      </c>
      <c r="D27" s="153">
        <f>'B.rash. i izdaci za nef. im.'!D21</f>
        <v>0</v>
      </c>
      <c r="E27" s="153">
        <f>'B.rash. i izdaci za nef. im.'!E21</f>
        <v>220000</v>
      </c>
      <c r="F27" s="334">
        <f t="shared" si="1"/>
        <v>100</v>
      </c>
      <c r="H27"/>
    </row>
    <row r="28" spans="1:8" s="2" customFormat="1" ht="12.75">
      <c r="A28" s="267">
        <v>414000</v>
      </c>
      <c r="B28" s="93" t="s">
        <v>174</v>
      </c>
      <c r="C28" s="153">
        <f>'B.rash. i izdaci za nef. im.'!C25</f>
        <v>550000</v>
      </c>
      <c r="D28" s="153">
        <f>'B.rash. i izdaci za nef. im.'!D25</f>
        <v>-9795</v>
      </c>
      <c r="E28" s="153">
        <f>'B.rash. i izdaci za nef. im.'!E25</f>
        <v>540205</v>
      </c>
      <c r="F28" s="334">
        <f t="shared" si="1"/>
        <v>98.21909090909091</v>
      </c>
      <c r="H28"/>
    </row>
    <row r="29" spans="1:8" s="2" customFormat="1" ht="12.75">
      <c r="A29" s="267">
        <v>415000</v>
      </c>
      <c r="B29" s="203" t="s">
        <v>133</v>
      </c>
      <c r="C29" s="153">
        <f>'B.rash. i izdaci za nef. im.'!C27</f>
        <v>1425936.15</v>
      </c>
      <c r="D29" s="153">
        <f>'B.rash. i izdaci za nef. im.'!D27</f>
        <v>86687.3</v>
      </c>
      <c r="E29" s="153">
        <f>'B.rash. i izdaci za nef. im.'!E27</f>
        <v>1512623.45</v>
      </c>
      <c r="F29" s="334">
        <f t="shared" si="1"/>
        <v>106.07932550135573</v>
      </c>
      <c r="H29"/>
    </row>
    <row r="30" spans="1:8" s="2" customFormat="1" ht="23.25" customHeight="1">
      <c r="A30" s="267">
        <v>416000</v>
      </c>
      <c r="B30" s="93" t="s">
        <v>142</v>
      </c>
      <c r="C30" s="153">
        <f>'B.rash. i izdaci za nef. im.'!C29</f>
        <v>3993790</v>
      </c>
      <c r="D30" s="153">
        <f>'B.rash. i izdaci za nef. im.'!D29</f>
        <v>167950</v>
      </c>
      <c r="E30" s="153">
        <f>'B.rash. i izdaci za nef. im.'!E29</f>
        <v>4161740</v>
      </c>
      <c r="F30" s="334">
        <f t="shared" si="1"/>
        <v>104.20527869517426</v>
      </c>
      <c r="H30"/>
    </row>
    <row r="31" spans="1:8" s="2" customFormat="1" ht="25.5">
      <c r="A31" s="267">
        <v>418000</v>
      </c>
      <c r="B31" s="93" t="s">
        <v>304</v>
      </c>
      <c r="C31" s="94">
        <f>'B.rash. i izdaci za nef. im.'!C32</f>
        <v>77600</v>
      </c>
      <c r="D31" s="94">
        <f>'B.rash. i izdaci za nef. im.'!D32</f>
        <v>2000</v>
      </c>
      <c r="E31" s="94">
        <f>'B.rash. i izdaci za nef. im.'!E32</f>
        <v>79600</v>
      </c>
      <c r="F31" s="334">
        <f t="shared" si="1"/>
        <v>102.57731958762886</v>
      </c>
      <c r="H31"/>
    </row>
    <row r="32" spans="1:8" s="2" customFormat="1" ht="14.25" customHeight="1">
      <c r="A32" s="267">
        <v>419000</v>
      </c>
      <c r="B32" s="93" t="s">
        <v>305</v>
      </c>
      <c r="C32" s="153">
        <f>'B.rash. i izdaci za nef. im.'!C36</f>
        <v>126600</v>
      </c>
      <c r="D32" s="153">
        <f>'B.rash. i izdaci za nef. im.'!D36</f>
        <v>-3000</v>
      </c>
      <c r="E32" s="153">
        <f>'B.rash. i izdaci za nef. im.'!E36</f>
        <v>123600</v>
      </c>
      <c r="F32" s="334">
        <f t="shared" si="1"/>
        <v>97.6303317535545</v>
      </c>
      <c r="H32"/>
    </row>
    <row r="33" spans="1:8" s="2" customFormat="1" ht="16.5" customHeight="1">
      <c r="A33" s="300">
        <v>480000</v>
      </c>
      <c r="B33" s="266" t="s">
        <v>308</v>
      </c>
      <c r="C33" s="63">
        <f>SUM(C34)</f>
        <v>266500</v>
      </c>
      <c r="D33" s="63">
        <f>SUM(D34)</f>
        <v>5690.53</v>
      </c>
      <c r="E33" s="63">
        <f>SUM(E34)</f>
        <v>272190.53</v>
      </c>
      <c r="F33" s="64">
        <f>E33/C33*100</f>
        <v>102.13528330206381</v>
      </c>
      <c r="H33"/>
    </row>
    <row r="34" spans="1:8" s="2" customFormat="1" ht="16.5" customHeight="1">
      <c r="A34" s="267">
        <v>487000</v>
      </c>
      <c r="B34" s="93" t="s">
        <v>303</v>
      </c>
      <c r="C34" s="153">
        <f>'B.rash. i izdaci za nef. im.'!C38</f>
        <v>266500</v>
      </c>
      <c r="D34" s="153">
        <f>'B.rash. i izdaci za nef. im.'!D38</f>
        <v>5690.53</v>
      </c>
      <c r="E34" s="153">
        <f>'B.rash. i izdaci za nef. im.'!E38</f>
        <v>272190.53</v>
      </c>
      <c r="F34" s="334">
        <f>E34/C34*100</f>
        <v>102.13528330206381</v>
      </c>
      <c r="H34"/>
    </row>
    <row r="35" spans="1:8" s="2" customFormat="1" ht="15.75" customHeight="1">
      <c r="A35" s="300" t="s">
        <v>189</v>
      </c>
      <c r="B35" s="266" t="s">
        <v>307</v>
      </c>
      <c r="C35" s="63">
        <f>'B.rash. i izdaci za nef. im.'!C43</f>
        <v>79942.23</v>
      </c>
      <c r="D35" s="63">
        <f>'B.rash. i izdaci za nef. im.'!D43</f>
        <v>-49942.229999999996</v>
      </c>
      <c r="E35" s="63">
        <f>'B.rash. i izdaci za nef. im.'!E43</f>
        <v>30000</v>
      </c>
      <c r="F35" s="64">
        <f>E35/C35*100</f>
        <v>37.52709925655064</v>
      </c>
      <c r="H35"/>
    </row>
    <row r="36" spans="1:8" s="2" customFormat="1" ht="16.5" customHeight="1">
      <c r="A36" s="271"/>
      <c r="B36" s="47" t="s">
        <v>245</v>
      </c>
      <c r="C36" s="49">
        <f>C5-C23</f>
        <v>4439355.069999997</v>
      </c>
      <c r="D36" s="49">
        <f>D5-D23</f>
        <v>1575256.1599999997</v>
      </c>
      <c r="E36" s="49">
        <f>E5-E23</f>
        <v>6014611.23</v>
      </c>
      <c r="F36" s="50">
        <f>E36/C36*100</f>
        <v>135.483896538152</v>
      </c>
      <c r="H36"/>
    </row>
    <row r="37" spans="1:8" s="2" customFormat="1" ht="16.5" customHeight="1">
      <c r="A37" s="271"/>
      <c r="B37" s="304" t="s">
        <v>246</v>
      </c>
      <c r="C37" s="56">
        <f>C38-C42</f>
        <v>-8398895.4</v>
      </c>
      <c r="D37" s="56">
        <f>D38-D42</f>
        <v>-169645.83</v>
      </c>
      <c r="E37" s="56">
        <f>E38-E42</f>
        <v>-8568541.23</v>
      </c>
      <c r="F37" s="57" t="s">
        <v>266</v>
      </c>
      <c r="H37"/>
    </row>
    <row r="38" spans="1:6" ht="13.5" customHeight="1">
      <c r="A38" s="300">
        <v>810000</v>
      </c>
      <c r="B38" s="266" t="s">
        <v>224</v>
      </c>
      <c r="C38" s="63">
        <f>SUM(C39:C41)</f>
        <v>595424.6</v>
      </c>
      <c r="D38" s="63">
        <f>SUM(D39:D41)</f>
        <v>5000.4</v>
      </c>
      <c r="E38" s="63">
        <f>SUM(E39:E41)</f>
        <v>600425</v>
      </c>
      <c r="F38" s="64">
        <f>E38/C38*100</f>
        <v>100.83980406587165</v>
      </c>
    </row>
    <row r="39" spans="1:6" ht="14.25" customHeight="1">
      <c r="A39" s="267">
        <v>813000</v>
      </c>
      <c r="B39" s="75" t="s">
        <v>157</v>
      </c>
      <c r="C39" s="153">
        <f>'B.pr. i prim. za nef. im.'!D111</f>
        <v>557000</v>
      </c>
      <c r="D39" s="153">
        <f>'B.pr. i prim. za nef. im.'!E111</f>
        <v>0</v>
      </c>
      <c r="E39" s="153">
        <f>'B.pr. i prim. za nef. im.'!F111</f>
        <v>557000</v>
      </c>
      <c r="F39" s="334">
        <f aca="true" t="shared" si="2" ref="F39:F46">E39/C39*100</f>
        <v>100</v>
      </c>
    </row>
    <row r="40" spans="1:6" ht="26.25" customHeight="1">
      <c r="A40" s="267">
        <v>814000</v>
      </c>
      <c r="B40" s="436" t="s">
        <v>661</v>
      </c>
      <c r="C40" s="153">
        <f>'B.pr. i prim. za nef. im.'!D113</f>
        <v>424.6</v>
      </c>
      <c r="D40" s="153">
        <f>'B.pr. i prim. za nef. im.'!E113</f>
        <v>0.39999999999997726</v>
      </c>
      <c r="E40" s="153">
        <f>'B.pr. i prim. za nef. im.'!F113</f>
        <v>425</v>
      </c>
      <c r="F40" s="334">
        <f t="shared" si="2"/>
        <v>100.09420631182289</v>
      </c>
    </row>
    <row r="41" spans="1:6" ht="29.25" customHeight="1">
      <c r="A41" s="267">
        <v>816000</v>
      </c>
      <c r="B41" s="75" t="s">
        <v>247</v>
      </c>
      <c r="C41" s="153">
        <f>'B.pr. i prim. za nef. im.'!D115</f>
        <v>38000</v>
      </c>
      <c r="D41" s="153">
        <f>'B.pr. i prim. za nef. im.'!E115</f>
        <v>5000</v>
      </c>
      <c r="E41" s="153">
        <f>'B.pr. i prim. za nef. im.'!F115</f>
        <v>43000</v>
      </c>
      <c r="F41" s="334">
        <f t="shared" si="2"/>
        <v>113.1578947368421</v>
      </c>
    </row>
    <row r="42" spans="1:6" ht="16.5" customHeight="1">
      <c r="A42" s="300">
        <v>510000</v>
      </c>
      <c r="B42" s="266" t="s">
        <v>248</v>
      </c>
      <c r="C42" s="63">
        <f>SUM(C43:C45)</f>
        <v>8994320</v>
      </c>
      <c r="D42" s="63">
        <f>SUM(D43:D45)</f>
        <v>174646.22999999998</v>
      </c>
      <c r="E42" s="63">
        <f>SUM(E43:E45)</f>
        <v>9168966.23</v>
      </c>
      <c r="F42" s="64">
        <f t="shared" si="2"/>
        <v>101.94173911980005</v>
      </c>
    </row>
    <row r="43" spans="1:6" ht="12.75">
      <c r="A43" s="267">
        <v>511000</v>
      </c>
      <c r="B43" s="75" t="s">
        <v>137</v>
      </c>
      <c r="C43" s="153">
        <f>'B.rash. i izdaci za nef. im.'!C45</f>
        <v>8772903</v>
      </c>
      <c r="D43" s="153">
        <f>'B.rash. i izdaci za nef. im.'!D45</f>
        <v>168980.71</v>
      </c>
      <c r="E43" s="153">
        <f>'B.rash. i izdaci za nef. im.'!E45</f>
        <v>8941883.71</v>
      </c>
      <c r="F43" s="334">
        <f t="shared" si="2"/>
        <v>101.92616640124712</v>
      </c>
    </row>
    <row r="44" spans="1:6" ht="12.75">
      <c r="A44" s="305">
        <v>513000</v>
      </c>
      <c r="B44" s="203" t="s">
        <v>164</v>
      </c>
      <c r="C44" s="153">
        <f>'B.rash. i izdaci za nef. im.'!C51</f>
        <v>150000</v>
      </c>
      <c r="D44" s="153">
        <f>'B.rash. i izdaci za nef. im.'!D51</f>
        <v>0</v>
      </c>
      <c r="E44" s="153">
        <f>'B.rash. i izdaci za nef. im.'!E51</f>
        <v>150000</v>
      </c>
      <c r="F44" s="334">
        <f t="shared" si="2"/>
        <v>100</v>
      </c>
    </row>
    <row r="45" spans="1:6" ht="12.75">
      <c r="A45" s="305">
        <v>516000</v>
      </c>
      <c r="B45" s="93" t="s">
        <v>292</v>
      </c>
      <c r="C45" s="153">
        <f>'B.rash. i izdaci za nef. im.'!C54</f>
        <v>71417</v>
      </c>
      <c r="D45" s="153">
        <f>'B.rash. i izdaci za nef. im.'!D54</f>
        <v>5665.519999999997</v>
      </c>
      <c r="E45" s="153">
        <f>'B.rash. i izdaci za nef. im.'!E54</f>
        <v>77082.51999999999</v>
      </c>
      <c r="F45" s="334">
        <f t="shared" si="2"/>
        <v>107.93301314812997</v>
      </c>
    </row>
    <row r="46" spans="1:6" ht="18.75" customHeight="1">
      <c r="A46" s="305"/>
      <c r="B46" s="47" t="s">
        <v>249</v>
      </c>
      <c r="C46" s="49">
        <f>C36+C37</f>
        <v>-3959540.330000004</v>
      </c>
      <c r="D46" s="49">
        <f>D36+D37</f>
        <v>1405610.3299999996</v>
      </c>
      <c r="E46" s="49">
        <f>E36+E37</f>
        <v>-2553930</v>
      </c>
      <c r="F46" s="50">
        <f t="shared" si="2"/>
        <v>64.50066894507418</v>
      </c>
    </row>
    <row r="47" spans="1:6" ht="15.75" customHeight="1">
      <c r="A47" s="305"/>
      <c r="B47" s="53" t="s">
        <v>309</v>
      </c>
      <c r="C47" s="56">
        <f>C48+C53+C59+C66</f>
        <v>3959540.33</v>
      </c>
      <c r="D47" s="56">
        <f>D48+D53+D59+D66</f>
        <v>-1405610.33</v>
      </c>
      <c r="E47" s="56">
        <f>E48+E53+E59+E66</f>
        <v>2553930</v>
      </c>
      <c r="F47" s="57" t="s">
        <v>266</v>
      </c>
    </row>
    <row r="48" spans="1:6" ht="17.25" customHeight="1">
      <c r="A48" s="305"/>
      <c r="B48" s="53" t="s">
        <v>250</v>
      </c>
      <c r="C48" s="56">
        <f>C49-C51</f>
        <v>0</v>
      </c>
      <c r="D48" s="56">
        <f>D49-D51</f>
        <v>0</v>
      </c>
      <c r="E48" s="56">
        <f>E49-E51</f>
        <v>0</v>
      </c>
      <c r="F48" s="57" t="e">
        <f aca="true" t="shared" si="3" ref="F48:F58">E48/C48*100</f>
        <v>#DIV/0!</v>
      </c>
    </row>
    <row r="49" spans="1:6" ht="15" customHeight="1">
      <c r="A49" s="300">
        <v>910000</v>
      </c>
      <c r="B49" s="266" t="s">
        <v>251</v>
      </c>
      <c r="C49" s="63">
        <f>SUM(C50)</f>
        <v>0</v>
      </c>
      <c r="D49" s="63">
        <f>SUM(D50)</f>
        <v>0</v>
      </c>
      <c r="E49" s="63">
        <f>SUM(E50)</f>
        <v>0</v>
      </c>
      <c r="F49" s="64" t="e">
        <f t="shared" si="3"/>
        <v>#DIV/0!</v>
      </c>
    </row>
    <row r="50" spans="1:6" ht="14.25" customHeight="1">
      <c r="A50" s="267">
        <v>911000</v>
      </c>
      <c r="B50" s="166" t="s">
        <v>252</v>
      </c>
      <c r="C50" s="69">
        <f>Finansiranje!C7</f>
        <v>0</v>
      </c>
      <c r="D50" s="69">
        <f>Finansiranje!D7</f>
        <v>0</v>
      </c>
      <c r="E50" s="69">
        <f>Finansiranje!E7</f>
        <v>0</v>
      </c>
      <c r="F50" s="82" t="e">
        <f t="shared" si="3"/>
        <v>#DIV/0!</v>
      </c>
    </row>
    <row r="51" spans="1:6" ht="14.25" customHeight="1">
      <c r="A51" s="300">
        <v>610000</v>
      </c>
      <c r="B51" s="266" t="s">
        <v>253</v>
      </c>
      <c r="C51" s="63">
        <f>SUM(C52)</f>
        <v>0</v>
      </c>
      <c r="D51" s="63">
        <f>SUM(D52)</f>
        <v>0</v>
      </c>
      <c r="E51" s="63">
        <f>SUM(E52)</f>
        <v>0</v>
      </c>
      <c r="F51" s="64" t="e">
        <f t="shared" si="3"/>
        <v>#DIV/0!</v>
      </c>
    </row>
    <row r="52" spans="1:6" ht="14.25" customHeight="1">
      <c r="A52" s="267">
        <v>611000</v>
      </c>
      <c r="B52" s="166" t="s">
        <v>254</v>
      </c>
      <c r="C52" s="69">
        <f>Finansiranje!C9</f>
        <v>0</v>
      </c>
      <c r="D52" s="69">
        <f>Finansiranje!D9</f>
        <v>0</v>
      </c>
      <c r="E52" s="69">
        <f>Finansiranje!E9</f>
        <v>0</v>
      </c>
      <c r="F52" s="82" t="e">
        <f t="shared" si="3"/>
        <v>#DIV/0!</v>
      </c>
    </row>
    <row r="53" spans="1:6" ht="14.25" customHeight="1">
      <c r="A53" s="267"/>
      <c r="B53" s="53" t="s">
        <v>255</v>
      </c>
      <c r="C53" s="56">
        <f>C54-C56</f>
        <v>3895000</v>
      </c>
      <c r="D53" s="56">
        <f>D54-D56</f>
        <v>-1300000</v>
      </c>
      <c r="E53" s="56">
        <f>E54-E56</f>
        <v>2595000</v>
      </c>
      <c r="F53" s="57">
        <f t="shared" si="3"/>
        <v>66.62387676508345</v>
      </c>
    </row>
    <row r="54" spans="1:6" ht="15" customHeight="1">
      <c r="A54" s="300">
        <v>920000</v>
      </c>
      <c r="B54" s="266" t="s">
        <v>258</v>
      </c>
      <c r="C54" s="63">
        <f>SUM(C55)</f>
        <v>5000000</v>
      </c>
      <c r="D54" s="63">
        <f>SUM(D55)</f>
        <v>-1300000</v>
      </c>
      <c r="E54" s="63">
        <f>SUM(E55)</f>
        <v>3700000</v>
      </c>
      <c r="F54" s="64">
        <f t="shared" si="3"/>
        <v>74</v>
      </c>
    </row>
    <row r="55" spans="1:6" ht="14.25" customHeight="1">
      <c r="A55" s="267">
        <v>921000</v>
      </c>
      <c r="B55" s="75" t="s">
        <v>394</v>
      </c>
      <c r="C55" s="94">
        <f>Finansiranje!C12</f>
        <v>5000000</v>
      </c>
      <c r="D55" s="94">
        <f>Finansiranje!D12</f>
        <v>-1300000</v>
      </c>
      <c r="E55" s="94">
        <f>Finansiranje!E12</f>
        <v>3700000</v>
      </c>
      <c r="F55" s="334">
        <f t="shared" si="3"/>
        <v>74</v>
      </c>
    </row>
    <row r="56" spans="1:6" ht="14.25" customHeight="1">
      <c r="A56" s="300">
        <v>620000</v>
      </c>
      <c r="B56" s="266" t="s">
        <v>256</v>
      </c>
      <c r="C56" s="62">
        <f>SUM(C57:C58)</f>
        <v>1105000</v>
      </c>
      <c r="D56" s="62">
        <f>SUM(D57:D58)</f>
        <v>0</v>
      </c>
      <c r="E56" s="62">
        <f>SUM(E57:E58)</f>
        <v>1105000</v>
      </c>
      <c r="F56" s="64">
        <f t="shared" si="3"/>
        <v>100</v>
      </c>
    </row>
    <row r="57" spans="1:6" ht="15.75" customHeight="1">
      <c r="A57" s="267">
        <v>621000</v>
      </c>
      <c r="B57" s="75" t="s">
        <v>395</v>
      </c>
      <c r="C57" s="94">
        <f>Finansiranje!C15</f>
        <v>925000</v>
      </c>
      <c r="D57" s="94">
        <f>Finansiranje!D15</f>
        <v>0</v>
      </c>
      <c r="E57" s="94">
        <f>Finansiranje!E15</f>
        <v>925000</v>
      </c>
      <c r="F57" s="334">
        <f t="shared" si="3"/>
        <v>100</v>
      </c>
    </row>
    <row r="58" spans="1:6" ht="25.5">
      <c r="A58" s="267">
        <v>628000</v>
      </c>
      <c r="B58" s="75" t="s">
        <v>390</v>
      </c>
      <c r="C58" s="94">
        <f>Finansiranje!C18</f>
        <v>180000</v>
      </c>
      <c r="D58" s="94">
        <f>Finansiranje!D18</f>
        <v>0</v>
      </c>
      <c r="E58" s="94">
        <f>Finansiranje!E18</f>
        <v>180000</v>
      </c>
      <c r="F58" s="334">
        <f t="shared" si="3"/>
        <v>100</v>
      </c>
    </row>
    <row r="59" spans="1:6" ht="14.25" customHeight="1">
      <c r="A59" s="267"/>
      <c r="B59" s="53" t="s">
        <v>310</v>
      </c>
      <c r="C59" s="56">
        <f>C60-C63</f>
        <v>-160479.66999999998</v>
      </c>
      <c r="D59" s="56">
        <f>D60-D63</f>
        <v>-105610.33</v>
      </c>
      <c r="E59" s="56">
        <f>E60-E63</f>
        <v>-266090</v>
      </c>
      <c r="F59" s="57" t="s">
        <v>266</v>
      </c>
    </row>
    <row r="60" spans="1:6" ht="14.25" customHeight="1">
      <c r="A60" s="300">
        <v>930000</v>
      </c>
      <c r="B60" s="266" t="s">
        <v>311</v>
      </c>
      <c r="C60" s="63">
        <f>SUM(C61:C62)</f>
        <v>439910.33</v>
      </c>
      <c r="D60" s="63">
        <f>SUM(D61:D62)</f>
        <v>-96630.33</v>
      </c>
      <c r="E60" s="63">
        <f>SUM(E61:E62)</f>
        <v>343280</v>
      </c>
      <c r="F60" s="64">
        <f aca="true" t="shared" si="4" ref="F60:F66">E60/C60*100</f>
        <v>78.03408480996569</v>
      </c>
    </row>
    <row r="61" spans="1:6" ht="14.25" customHeight="1">
      <c r="A61" s="267">
        <v>931000</v>
      </c>
      <c r="B61" s="75" t="s">
        <v>312</v>
      </c>
      <c r="C61" s="69">
        <f>Finansiranje!C22</f>
        <v>110610.33</v>
      </c>
      <c r="D61" s="69">
        <f>Finansiranje!D22</f>
        <v>0</v>
      </c>
      <c r="E61" s="69">
        <f>Finansiranje!E22</f>
        <v>110610.33</v>
      </c>
      <c r="F61" s="334">
        <f t="shared" si="4"/>
        <v>100</v>
      </c>
    </row>
    <row r="62" spans="1:6" ht="12.75">
      <c r="A62" s="267">
        <v>938000</v>
      </c>
      <c r="B62" s="75" t="s">
        <v>356</v>
      </c>
      <c r="C62" s="153">
        <f>Finansiranje!C25</f>
        <v>329300</v>
      </c>
      <c r="D62" s="153">
        <f>Finansiranje!D25</f>
        <v>-96630.33</v>
      </c>
      <c r="E62" s="153">
        <f>Finansiranje!E25</f>
        <v>232669.66999999998</v>
      </c>
      <c r="F62" s="334">
        <f t="shared" si="4"/>
        <v>70.65583662313999</v>
      </c>
    </row>
    <row r="63" spans="1:6" ht="14.25" customHeight="1">
      <c r="A63" s="300">
        <v>630000</v>
      </c>
      <c r="B63" s="266" t="s">
        <v>313</v>
      </c>
      <c r="C63" s="62">
        <f>SUM(C64:C65)</f>
        <v>600390</v>
      </c>
      <c r="D63" s="62">
        <f>SUM(D64:D65)</f>
        <v>8980</v>
      </c>
      <c r="E63" s="62">
        <f>SUM(E64:E65)</f>
        <v>609370</v>
      </c>
      <c r="F63" s="64">
        <f t="shared" si="4"/>
        <v>101.49569446526425</v>
      </c>
    </row>
    <row r="64" spans="1:6" ht="14.25" customHeight="1">
      <c r="A64" s="267">
        <v>631000</v>
      </c>
      <c r="B64" s="75" t="s">
        <v>314</v>
      </c>
      <c r="C64" s="94">
        <f>Finansiranje!C29</f>
        <v>340500</v>
      </c>
      <c r="D64" s="94">
        <f>Finansiranje!D29</f>
        <v>-5320</v>
      </c>
      <c r="E64" s="94">
        <f>Finansiranje!E29</f>
        <v>335180</v>
      </c>
      <c r="F64" s="334">
        <f t="shared" si="4"/>
        <v>98.43759177679883</v>
      </c>
    </row>
    <row r="65" spans="1:6" ht="14.25" customHeight="1">
      <c r="A65" s="267">
        <v>638000</v>
      </c>
      <c r="B65" s="75" t="s">
        <v>319</v>
      </c>
      <c r="C65" s="94">
        <f>Finansiranje!C34</f>
        <v>259890</v>
      </c>
      <c r="D65" s="94">
        <f>Finansiranje!D34</f>
        <v>14300</v>
      </c>
      <c r="E65" s="94">
        <f>Finansiranje!E34</f>
        <v>274190</v>
      </c>
      <c r="F65" s="334">
        <f t="shared" si="4"/>
        <v>105.50232790796106</v>
      </c>
    </row>
    <row r="66" spans="1:6" ht="21.75" customHeight="1">
      <c r="A66" s="267"/>
      <c r="B66" s="98" t="s">
        <v>418</v>
      </c>
      <c r="C66" s="56">
        <f>Finansiranje!C37</f>
        <v>225020</v>
      </c>
      <c r="D66" s="56">
        <f>Finansiranje!D37</f>
        <v>0</v>
      </c>
      <c r="E66" s="56">
        <f>Finansiranje!E37</f>
        <v>225020</v>
      </c>
      <c r="F66" s="335">
        <f t="shared" si="4"/>
        <v>100</v>
      </c>
    </row>
    <row r="67" spans="1:6" ht="20.25" customHeight="1" thickBot="1">
      <c r="A67" s="296"/>
      <c r="B67" s="102" t="s">
        <v>315</v>
      </c>
      <c r="C67" s="103">
        <f>C46+C47</f>
        <v>-3.725290298461914E-09</v>
      </c>
      <c r="D67" s="103">
        <f>D46+D47</f>
        <v>0</v>
      </c>
      <c r="E67" s="103">
        <f>E46+E47</f>
        <v>0</v>
      </c>
      <c r="F67" s="105" t="s">
        <v>266</v>
      </c>
    </row>
    <row r="68" spans="1:6" ht="17.25" customHeight="1" thickTop="1">
      <c r="A68" s="118"/>
      <c r="B68" s="119"/>
      <c r="C68" s="120"/>
      <c r="D68" s="120"/>
      <c r="E68" s="120"/>
      <c r="F68" s="121"/>
    </row>
    <row r="69" spans="1:6" ht="22.5" customHeight="1">
      <c r="A69" s="22"/>
      <c r="B69" s="20"/>
      <c r="C69" s="23"/>
      <c r="D69" s="23"/>
      <c r="E69" s="23"/>
      <c r="F69" s="23"/>
    </row>
    <row r="70" spans="1:6" ht="22.5" customHeight="1">
      <c r="A70" s="22"/>
      <c r="B70" s="20"/>
      <c r="C70" s="23"/>
      <c r="D70" s="23"/>
      <c r="E70" s="23"/>
      <c r="F70" s="23"/>
    </row>
    <row r="71" spans="1:6" ht="0.75" customHeight="1">
      <c r="A71" s="3"/>
      <c r="B71" s="428" t="s">
        <v>668</v>
      </c>
      <c r="C71" s="428">
        <f>C7+C8+C9+C10+C11+C12+C14+C15+C16+C17+C18+C20+C22+C39+C40+C41+C50+C55+C61+C62+C66</f>
        <v>30460000</v>
      </c>
      <c r="D71" s="428">
        <f>D7+D8+D9+D10+D11+D12+D14+D15+D16+D17+D18+D20+D22+D39+D40+D41+D50+D55+D61+D62+D66</f>
        <v>1559999.9999999995</v>
      </c>
      <c r="E71" s="428">
        <f>E7+E8+E9+E10+E11+E12+E14+E15+E16+E17+E18+E20+E22+E39+E40+E41+E50+E55+E61+E62+E66</f>
        <v>32020000</v>
      </c>
      <c r="F71" s="20"/>
    </row>
    <row r="72" spans="1:6" ht="27.75" customHeight="1" hidden="1">
      <c r="A72" s="3"/>
      <c r="B72" s="428" t="s">
        <v>669</v>
      </c>
      <c r="C72" s="428">
        <f>C25+C26+C27+C28+C29+C30+C31+C32+C34+C35+C43+C44+C45+C52+C57+C58+C64+C65</f>
        <v>30460000.000000004</v>
      </c>
      <c r="D72" s="428">
        <f>D25+D26+D27+D28+D29+D30+D31+D32+D34+D35+D43+D44+D45+D52+D57+D58+D64+D65</f>
        <v>1560000</v>
      </c>
      <c r="E72" s="428">
        <f>E25+E26+E27+E28+E29+E30+E31+E32+E34+E35+E43+E44+E45+E52+E57+E58+E64+E65</f>
        <v>32020000</v>
      </c>
      <c r="F72" s="20"/>
    </row>
    <row r="73" spans="1:8" ht="36" customHeight="1" hidden="1">
      <c r="A73" s="3"/>
      <c r="B73" s="38" t="s">
        <v>714</v>
      </c>
      <c r="C73" s="20">
        <f>C71-C72</f>
        <v>0</v>
      </c>
      <c r="D73" s="20">
        <f>D71-D72</f>
        <v>0</v>
      </c>
      <c r="E73" s="20">
        <f>E71-E72</f>
        <v>0</v>
      </c>
      <c r="F73" s="20"/>
      <c r="H73" s="1"/>
    </row>
    <row r="74" spans="1:6" ht="16.5" customHeight="1">
      <c r="A74" s="4"/>
      <c r="B74" s="434"/>
      <c r="C74" s="434"/>
      <c r="D74" s="434"/>
      <c r="E74" s="434"/>
      <c r="F74" s="23"/>
    </row>
    <row r="75" spans="1:2" ht="15.75" customHeight="1">
      <c r="A75" s="23"/>
      <c r="B75" s="23"/>
    </row>
    <row r="76" spans="1:5" ht="12.75">
      <c r="A76" s="23"/>
      <c r="B76" s="23"/>
      <c r="C76" s="23"/>
      <c r="D76" s="23"/>
      <c r="E76" s="23"/>
    </row>
    <row r="77" spans="1:6" ht="17.25" customHeight="1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4"/>
      <c r="D79" s="24"/>
      <c r="E79" s="24"/>
      <c r="F79" s="24"/>
    </row>
    <row r="80" spans="1:2" ht="12.75">
      <c r="A80" s="23"/>
      <c r="B80" s="23"/>
    </row>
    <row r="81" spans="1:2" ht="23.25" customHeight="1">
      <c r="A81" s="23"/>
      <c r="B81" s="23"/>
    </row>
    <row r="82" spans="1:2" ht="16.5" customHeight="1">
      <c r="A82" s="23"/>
      <c r="B82" s="23"/>
    </row>
    <row r="83" spans="1:2" ht="12.75">
      <c r="A83" s="23"/>
      <c r="B83" s="23"/>
    </row>
    <row r="84" spans="1:2" ht="12.75">
      <c r="A84" s="23"/>
      <c r="B84" s="23"/>
    </row>
    <row r="85" spans="1:2" ht="15" customHeight="1">
      <c r="A85" s="23"/>
      <c r="B85" s="23"/>
    </row>
    <row r="86" spans="1:2" ht="12.75">
      <c r="A86" s="23"/>
      <c r="B86" s="23"/>
    </row>
    <row r="87" spans="1:2" ht="26.25" customHeight="1">
      <c r="A87" s="23"/>
      <c r="B87" s="23"/>
    </row>
    <row r="88" spans="1:2" ht="12.75">
      <c r="A88" s="23"/>
      <c r="B88" s="23"/>
    </row>
    <row r="89" spans="1:2" ht="12.75">
      <c r="A89" s="23"/>
      <c r="B89" s="23"/>
    </row>
    <row r="90" spans="1:2" ht="12.75">
      <c r="A90" s="23"/>
      <c r="B90" s="23"/>
    </row>
    <row r="91" spans="1:2" ht="12.75">
      <c r="A91" s="23"/>
      <c r="B91" s="23"/>
    </row>
    <row r="92" spans="1:2" ht="12.75">
      <c r="A92" s="23"/>
      <c r="B92" s="23"/>
    </row>
    <row r="93" spans="1:2" ht="12.75">
      <c r="A93" s="23"/>
      <c r="B93" s="23"/>
    </row>
    <row r="94" spans="1:2" ht="15.75" customHeight="1">
      <c r="A94" s="23"/>
      <c r="B94" s="23"/>
    </row>
    <row r="95" spans="1:7" ht="12.75">
      <c r="A95" s="23"/>
      <c r="B95" s="23"/>
      <c r="G95" s="2"/>
    </row>
    <row r="96" spans="1:2" ht="12.75">
      <c r="A96" s="23"/>
      <c r="B96" s="23"/>
    </row>
    <row r="97" spans="1:2" ht="12.75">
      <c r="A97" s="23"/>
      <c r="B97" s="23"/>
    </row>
    <row r="98" spans="1:2" ht="12.75" customHeight="1">
      <c r="A98" s="23"/>
      <c r="B98" s="23"/>
    </row>
    <row r="99" spans="1:2" ht="12.75">
      <c r="A99" s="23"/>
      <c r="B99" s="23"/>
    </row>
    <row r="100" spans="1:2" ht="12.75">
      <c r="A100" s="23"/>
      <c r="B100" s="23"/>
    </row>
    <row r="101" spans="1:2" ht="12.75">
      <c r="A101" s="23"/>
      <c r="B101" s="23"/>
    </row>
    <row r="102" spans="1:2" ht="12.75">
      <c r="A102" s="23"/>
      <c r="B102" s="23"/>
    </row>
    <row r="103" spans="1:2" ht="12.75">
      <c r="A103" s="23"/>
      <c r="B103" s="23"/>
    </row>
    <row r="104" spans="1:2" ht="12.75">
      <c r="A104" s="23"/>
      <c r="B104" s="23"/>
    </row>
    <row r="105" spans="1:2" ht="12.75">
      <c r="A105" s="23"/>
      <c r="B105" s="23"/>
    </row>
    <row r="106" spans="1:2" ht="12.75">
      <c r="A106" s="23"/>
      <c r="B106" s="23"/>
    </row>
    <row r="107" spans="1:2" ht="12.75">
      <c r="A107" s="23"/>
      <c r="B107" s="23"/>
    </row>
    <row r="108" spans="1:2" ht="12.75">
      <c r="A108" s="23"/>
      <c r="B108" s="23"/>
    </row>
    <row r="109" spans="1:2" ht="12.75">
      <c r="A109" s="23"/>
      <c r="B109" s="23"/>
    </row>
    <row r="110" spans="1:2" ht="12.75">
      <c r="A110" s="23"/>
      <c r="B110" s="23"/>
    </row>
    <row r="111" spans="1:7" s="21" customFormat="1" ht="12.75">
      <c r="A111" s="23"/>
      <c r="B111" s="23"/>
      <c r="G111"/>
    </row>
    <row r="112" spans="1:7" s="21" customFormat="1" ht="12.75">
      <c r="A112" s="23"/>
      <c r="B112" s="23"/>
      <c r="G112"/>
    </row>
    <row r="113" spans="1:7" s="21" customFormat="1" ht="12.75">
      <c r="A113" s="23"/>
      <c r="B113" s="23"/>
      <c r="G113"/>
    </row>
    <row r="114" spans="1:7" s="21" customFormat="1" ht="12.75">
      <c r="A114" s="23"/>
      <c r="B114" s="23"/>
      <c r="G114"/>
    </row>
    <row r="115" spans="1:7" s="21" customFormat="1" ht="12.75">
      <c r="A115" s="23"/>
      <c r="B115" s="23"/>
      <c r="G115"/>
    </row>
    <row r="116" spans="1:7" s="21" customFormat="1" ht="12.75">
      <c r="A116" s="23"/>
      <c r="B116" s="23"/>
      <c r="G116"/>
    </row>
    <row r="117" spans="1:7" s="21" customFormat="1" ht="12.75">
      <c r="A117" s="23"/>
      <c r="B117" s="23"/>
      <c r="G117"/>
    </row>
    <row r="118" spans="1:7" s="21" customFormat="1" ht="12.75">
      <c r="A118" s="23"/>
      <c r="B118" s="23"/>
      <c r="G118"/>
    </row>
    <row r="119" spans="1:7" s="21" customFormat="1" ht="12.75">
      <c r="A119" s="23"/>
      <c r="B119" s="23"/>
      <c r="G119"/>
    </row>
    <row r="120" spans="1:7" s="21" customFormat="1" ht="12.75">
      <c r="A120" s="23"/>
      <c r="B120" s="23"/>
      <c r="G120"/>
    </row>
    <row r="121" spans="1:7" s="21" customFormat="1" ht="12.75">
      <c r="A121" s="23"/>
      <c r="B121" s="23"/>
      <c r="G121"/>
    </row>
    <row r="122" spans="1:7" s="21" customFormat="1" ht="12.75">
      <c r="A122" s="23"/>
      <c r="B122" s="23"/>
      <c r="G122"/>
    </row>
    <row r="123" spans="1:7" s="21" customFormat="1" ht="12.75">
      <c r="A123" s="23"/>
      <c r="B123" s="23"/>
      <c r="G123"/>
    </row>
    <row r="124" spans="1:7" s="21" customFormat="1" ht="12.75">
      <c r="A124" s="23"/>
      <c r="B124" s="23"/>
      <c r="G124"/>
    </row>
    <row r="125" spans="1:7" s="21" customFormat="1" ht="12.75">
      <c r="A125" s="23"/>
      <c r="B125" s="23"/>
      <c r="G125"/>
    </row>
    <row r="126" spans="1:7" s="21" customFormat="1" ht="12.75">
      <c r="A126" s="23"/>
      <c r="B126" s="23"/>
      <c r="G126"/>
    </row>
    <row r="127" spans="1:7" s="21" customFormat="1" ht="12.75">
      <c r="A127" s="23"/>
      <c r="B127" s="23"/>
      <c r="G127"/>
    </row>
    <row r="128" spans="1:7" s="21" customFormat="1" ht="12.75">
      <c r="A128" s="23"/>
      <c r="B128" s="23"/>
      <c r="G128"/>
    </row>
    <row r="129" spans="1:7" s="21" customFormat="1" ht="12.75">
      <c r="A129" s="23"/>
      <c r="B129" s="23"/>
      <c r="G129"/>
    </row>
    <row r="130" spans="1:7" s="21" customFormat="1" ht="12.75">
      <c r="A130" s="23"/>
      <c r="B130" s="23"/>
      <c r="G130"/>
    </row>
    <row r="131" spans="1:7" s="21" customFormat="1" ht="12.75">
      <c r="A131" s="23"/>
      <c r="B131" s="23"/>
      <c r="G131"/>
    </row>
    <row r="132" spans="1:7" s="21" customFormat="1" ht="12.75">
      <c r="A132" s="23"/>
      <c r="B132" s="23"/>
      <c r="G132"/>
    </row>
    <row r="133" spans="1:7" s="21" customFormat="1" ht="12.75">
      <c r="A133" s="23"/>
      <c r="B133" s="23"/>
      <c r="G133"/>
    </row>
    <row r="134" spans="1:7" s="21" customFormat="1" ht="12.75">
      <c r="A134" s="23"/>
      <c r="B134" s="23"/>
      <c r="G134"/>
    </row>
    <row r="135" spans="1:7" s="21" customFormat="1" ht="12.75">
      <c r="A135" s="23"/>
      <c r="B135" s="23"/>
      <c r="G135"/>
    </row>
    <row r="136" spans="1:7" s="21" customFormat="1" ht="12.75">
      <c r="A136" s="23"/>
      <c r="B136" s="23"/>
      <c r="G136"/>
    </row>
    <row r="137" spans="1:7" s="21" customFormat="1" ht="12.75">
      <c r="A137" s="23"/>
      <c r="B137" s="23"/>
      <c r="G137"/>
    </row>
    <row r="138" spans="1:7" s="21" customFormat="1" ht="12.75">
      <c r="A138" s="23"/>
      <c r="B138" s="23"/>
      <c r="G138"/>
    </row>
    <row r="139" spans="1:7" s="21" customFormat="1" ht="12.75">
      <c r="A139" s="23"/>
      <c r="B139" s="23"/>
      <c r="G139"/>
    </row>
    <row r="140" spans="1:7" s="21" customFormat="1" ht="12.75">
      <c r="A140" s="23"/>
      <c r="B140" s="23"/>
      <c r="G140"/>
    </row>
    <row r="141" spans="1:7" s="21" customFormat="1" ht="12.75">
      <c r="A141" s="23"/>
      <c r="B141" s="23"/>
      <c r="G141"/>
    </row>
    <row r="142" spans="1:7" s="21" customFormat="1" ht="12.75">
      <c r="A142" s="23"/>
      <c r="B142" s="23"/>
      <c r="G142"/>
    </row>
    <row r="143" spans="1:6" ht="12.75">
      <c r="A143" s="23"/>
      <c r="B143" s="3"/>
      <c r="C143" s="23"/>
      <c r="D143" s="23"/>
      <c r="E143" s="23"/>
      <c r="F143" s="23"/>
    </row>
    <row r="144" spans="1:6" ht="12.75">
      <c r="A144" s="4"/>
      <c r="B144" s="3"/>
      <c r="C144" s="23"/>
      <c r="D144" s="23"/>
      <c r="E144" s="23"/>
      <c r="F144" s="23"/>
    </row>
    <row r="145" spans="1:6" ht="12.75">
      <c r="A145" s="4"/>
      <c r="B145" s="3"/>
      <c r="C145" s="23"/>
      <c r="D145" s="23"/>
      <c r="E145" s="23"/>
      <c r="F145" s="23"/>
    </row>
    <row r="146" spans="1:6" ht="12.75">
      <c r="A146" s="4"/>
      <c r="B146" s="3"/>
      <c r="C146" s="23"/>
      <c r="D146" s="23"/>
      <c r="E146" s="23"/>
      <c r="F146" s="23"/>
    </row>
    <row r="147" spans="1:6" ht="12.75">
      <c r="A147" s="4"/>
      <c r="B147" s="3"/>
      <c r="C147" s="23"/>
      <c r="D147" s="23"/>
      <c r="E147" s="23"/>
      <c r="F147" s="23"/>
    </row>
    <row r="148" spans="1:6" ht="12.75">
      <c r="A148" s="4"/>
      <c r="B148" s="3"/>
      <c r="C148" s="23"/>
      <c r="D148" s="23"/>
      <c r="E148" s="23"/>
      <c r="F148" s="23"/>
    </row>
    <row r="149" spans="1:6" ht="12.75">
      <c r="A149" s="4"/>
      <c r="B149" s="3"/>
      <c r="C149" s="23"/>
      <c r="D149" s="23"/>
      <c r="E149" s="23"/>
      <c r="F149" s="23"/>
    </row>
    <row r="150" spans="1:6" ht="12.75">
      <c r="A150" s="4"/>
      <c r="B150" s="3"/>
      <c r="C150" s="23"/>
      <c r="D150" s="23"/>
      <c r="E150" s="23"/>
      <c r="F150" s="23"/>
    </row>
    <row r="151" spans="1:6" ht="12.75">
      <c r="A151" s="4"/>
      <c r="B151" s="3"/>
      <c r="C151" s="23"/>
      <c r="D151" s="23"/>
      <c r="E151" s="23"/>
      <c r="F151" s="23"/>
    </row>
    <row r="152" spans="1:6" ht="12.75">
      <c r="A152" s="4"/>
      <c r="B152" s="3"/>
      <c r="C152" s="23"/>
      <c r="D152" s="23"/>
      <c r="E152" s="23"/>
      <c r="F152" s="23"/>
    </row>
    <row r="153" spans="1:6" ht="12.75">
      <c r="A153" s="4"/>
      <c r="B153" s="3"/>
      <c r="C153" s="23"/>
      <c r="D153" s="23"/>
      <c r="E153" s="23"/>
      <c r="F153" s="23"/>
    </row>
    <row r="154" spans="1:6" ht="12.75">
      <c r="A154" s="4"/>
      <c r="B154" s="3"/>
      <c r="C154" s="23"/>
      <c r="D154" s="23"/>
      <c r="E154" s="23"/>
      <c r="F154" s="23"/>
    </row>
    <row r="155" spans="1:7" s="21" customFormat="1" ht="12.75">
      <c r="A155" s="4"/>
      <c r="B155" s="3"/>
      <c r="C155" s="23"/>
      <c r="D155" s="23"/>
      <c r="E155" s="23"/>
      <c r="F155" s="23"/>
      <c r="G155"/>
    </row>
    <row r="156" spans="1:7" s="21" customFormat="1" ht="12.75">
      <c r="A156" s="4"/>
      <c r="B156" s="3"/>
      <c r="C156" s="23"/>
      <c r="D156" s="23"/>
      <c r="E156" s="23"/>
      <c r="F156" s="23"/>
      <c r="G156"/>
    </row>
    <row r="157" spans="1:7" s="21" customFormat="1" ht="12.75">
      <c r="A157" s="4"/>
      <c r="B157" s="3"/>
      <c r="C157" s="23"/>
      <c r="D157" s="23"/>
      <c r="E157" s="23"/>
      <c r="F157" s="23"/>
      <c r="G157"/>
    </row>
    <row r="158" spans="1:7" s="21" customFormat="1" ht="12.75">
      <c r="A158" s="4"/>
      <c r="B158" s="3"/>
      <c r="C158" s="23"/>
      <c r="D158" s="23"/>
      <c r="E158" s="23"/>
      <c r="F158" s="23"/>
      <c r="G158"/>
    </row>
    <row r="159" spans="1:7" s="21" customFormat="1" ht="12.75">
      <c r="A159" s="4"/>
      <c r="B159" s="3"/>
      <c r="C159" s="23"/>
      <c r="D159" s="23"/>
      <c r="E159" s="23"/>
      <c r="F159" s="23"/>
      <c r="G159"/>
    </row>
    <row r="160" spans="1:7" s="21" customFormat="1" ht="12.75">
      <c r="A160" s="4"/>
      <c r="B160" s="3"/>
      <c r="C160" s="23"/>
      <c r="D160" s="23"/>
      <c r="E160" s="23"/>
      <c r="F160" s="23"/>
      <c r="G160"/>
    </row>
    <row r="161" spans="1:7" s="21" customFormat="1" ht="12.75">
      <c r="A161" s="4"/>
      <c r="B161" s="3"/>
      <c r="C161" s="23"/>
      <c r="D161" s="23"/>
      <c r="E161" s="23"/>
      <c r="F161" s="23"/>
      <c r="G161"/>
    </row>
    <row r="162" spans="1:7" s="21" customFormat="1" ht="12.75">
      <c r="A162" s="4"/>
      <c r="B162" s="3"/>
      <c r="C162" s="23"/>
      <c r="D162" s="23"/>
      <c r="E162" s="23"/>
      <c r="F162" s="23"/>
      <c r="G162"/>
    </row>
    <row r="163" spans="1:7" s="21" customFormat="1" ht="12.75">
      <c r="A163" s="4"/>
      <c r="B163" s="3"/>
      <c r="C163" s="23"/>
      <c r="D163" s="23"/>
      <c r="E163" s="23"/>
      <c r="F163" s="23"/>
      <c r="G163"/>
    </row>
    <row r="164" spans="1:7" s="21" customFormat="1" ht="12.75">
      <c r="A164" s="4"/>
      <c r="B164" s="3"/>
      <c r="C164" s="23"/>
      <c r="D164" s="23"/>
      <c r="E164" s="23"/>
      <c r="F164" s="23"/>
      <c r="G164"/>
    </row>
    <row r="165" spans="1:7" s="21" customFormat="1" ht="12.75">
      <c r="A165" s="4"/>
      <c r="B165" s="3"/>
      <c r="C165" s="23"/>
      <c r="D165" s="23"/>
      <c r="E165" s="23"/>
      <c r="F165" s="23"/>
      <c r="G165"/>
    </row>
    <row r="166" spans="1:7" s="21" customFormat="1" ht="12.75">
      <c r="A166" s="4"/>
      <c r="B166" s="3"/>
      <c r="C166" s="23"/>
      <c r="D166" s="23"/>
      <c r="E166" s="23"/>
      <c r="F166" s="23"/>
      <c r="G166"/>
    </row>
    <row r="167" spans="1:7" s="21" customFormat="1" ht="12.75">
      <c r="A167" s="4"/>
      <c r="B167" s="3"/>
      <c r="C167" s="23"/>
      <c r="D167" s="23"/>
      <c r="E167" s="23"/>
      <c r="F167" s="23"/>
      <c r="G167"/>
    </row>
    <row r="168" spans="1:7" s="21" customFormat="1" ht="12.75">
      <c r="A168" s="4"/>
      <c r="B168" s="3"/>
      <c r="C168" s="23"/>
      <c r="D168" s="23"/>
      <c r="E168" s="23"/>
      <c r="F168" s="23"/>
      <c r="G168"/>
    </row>
    <row r="169" spans="1:7" s="21" customFormat="1" ht="12.75">
      <c r="A169" s="4"/>
      <c r="B169"/>
      <c r="C169" s="23"/>
      <c r="D169" s="23"/>
      <c r="E169" s="23"/>
      <c r="F169" s="23"/>
      <c r="G169"/>
    </row>
  </sheetData>
  <sheetProtection/>
  <mergeCells count="7">
    <mergeCell ref="A1:F1"/>
    <mergeCell ref="A2:A3"/>
    <mergeCell ref="B2:B3"/>
    <mergeCell ref="F2:F3"/>
    <mergeCell ref="C2:C3"/>
    <mergeCell ref="D2:D3"/>
    <mergeCell ref="E2:E3"/>
  </mergeCells>
  <printOptions horizontalCentered="1"/>
  <pageMargins left="0.2755905511811024" right="0.15748031496062992" top="0.35433070866141736" bottom="0.3937007874015748" header="0.2755905511811024" footer="0.15748031496062992"/>
  <pageSetup horizontalDpi="600" verticalDpi="600" orientation="landscape" paperSize="9" scale="110" r:id="rId1"/>
  <headerFooter alignWithMargins="0">
    <oddFooter>&amp;R&amp;P</oddFooter>
  </headerFooter>
  <rowBreaks count="3" manualBreakCount="3">
    <brk id="29" max="5" man="1"/>
    <brk id="50" max="5" man="1"/>
    <brk id="74" max="4" man="1"/>
  </rowBreaks>
  <colBreaks count="1" manualBreakCount="1">
    <brk id="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1"/>
  <sheetViews>
    <sheetView view="pageBreakPreview" zoomScaleSheetLayoutView="100" zoomScalePageLayoutView="0" workbookViewId="0" topLeftCell="A1">
      <pane ySplit="3" topLeftCell="A4" activePane="bottomLeft" state="frozen"/>
      <selection pane="topLeft" activeCell="B41" sqref="B41"/>
      <selection pane="bottomLeft" activeCell="C139" sqref="C139"/>
    </sheetView>
  </sheetViews>
  <sheetFormatPr defaultColWidth="9.140625" defaultRowHeight="12.75"/>
  <cols>
    <col min="1" max="1" width="13.8515625" style="0" customWidth="1"/>
    <col min="2" max="2" width="8.140625" style="0" customWidth="1"/>
    <col min="3" max="3" width="57.7109375" style="0" customWidth="1"/>
    <col min="4" max="6" width="16.421875" style="21" customWidth="1"/>
    <col min="7" max="7" width="10.7109375" style="21" customWidth="1"/>
    <col min="8" max="8" width="10.00390625" style="21" customWidth="1"/>
    <col min="9" max="9" width="5.00390625" style="0" customWidth="1"/>
    <col min="10" max="10" width="16.00390625" style="0" customWidth="1"/>
    <col min="11" max="11" width="16.00390625" style="0" bestFit="1" customWidth="1"/>
    <col min="12" max="12" width="11.7109375" style="0" bestFit="1" customWidth="1"/>
  </cols>
  <sheetData>
    <row r="1" spans="1:11" ht="39.75" customHeight="1" thickBot="1">
      <c r="A1" s="475" t="s">
        <v>680</v>
      </c>
      <c r="B1" s="475"/>
      <c r="C1" s="475"/>
      <c r="D1" s="475"/>
      <c r="E1" s="475"/>
      <c r="F1" s="475"/>
      <c r="G1" s="475"/>
      <c r="H1" s="475"/>
      <c r="J1" s="392"/>
      <c r="K1" s="393"/>
    </row>
    <row r="2" spans="1:11" ht="18.75" customHeight="1" thickTop="1">
      <c r="A2" s="487" t="s">
        <v>57</v>
      </c>
      <c r="B2" s="489" t="s">
        <v>242</v>
      </c>
      <c r="C2" s="489" t="s">
        <v>201</v>
      </c>
      <c r="D2" s="484" t="s">
        <v>693</v>
      </c>
      <c r="E2" s="484" t="s">
        <v>711</v>
      </c>
      <c r="F2" s="484" t="s">
        <v>694</v>
      </c>
      <c r="G2" s="491" t="s">
        <v>109</v>
      </c>
      <c r="H2" s="493" t="s">
        <v>114</v>
      </c>
      <c r="I2" s="486"/>
      <c r="J2" s="392"/>
      <c r="K2" s="393"/>
    </row>
    <row r="3" spans="1:9" ht="38.25" customHeight="1">
      <c r="A3" s="488"/>
      <c r="B3" s="490"/>
      <c r="C3" s="490"/>
      <c r="D3" s="485"/>
      <c r="E3" s="485"/>
      <c r="F3" s="485"/>
      <c r="G3" s="492"/>
      <c r="H3" s="494"/>
      <c r="I3" s="486"/>
    </row>
    <row r="4" spans="1:9" s="5" customFormat="1" ht="18" customHeight="1">
      <c r="A4" s="106">
        <v>1</v>
      </c>
      <c r="B4" s="107">
        <v>2</v>
      </c>
      <c r="C4" s="107">
        <v>3</v>
      </c>
      <c r="D4" s="107">
        <v>4</v>
      </c>
      <c r="E4" s="107" t="s">
        <v>625</v>
      </c>
      <c r="F4" s="107">
        <v>6</v>
      </c>
      <c r="G4" s="107" t="s">
        <v>626</v>
      </c>
      <c r="H4" s="109">
        <v>8</v>
      </c>
      <c r="I4" s="116"/>
    </row>
    <row r="5" spans="1:10" ht="19.5" customHeight="1">
      <c r="A5" s="45"/>
      <c r="B5" s="46"/>
      <c r="C5" s="47" t="s">
        <v>243</v>
      </c>
      <c r="D5" s="48">
        <f>D6+D22+D84+D91</f>
        <v>24199645.07</v>
      </c>
      <c r="E5" s="48">
        <f>E6+E22+E84+E91</f>
        <v>2951629.9299999997</v>
      </c>
      <c r="F5" s="48">
        <f>F6+F22+F84+F91</f>
        <v>27151275</v>
      </c>
      <c r="G5" s="48">
        <f>F5/D5*100</f>
        <v>112.19699678016806</v>
      </c>
      <c r="H5" s="50">
        <f aca="true" t="shared" si="0" ref="H5:H36">F5/$F$117*100</f>
        <v>97.83643884879125</v>
      </c>
      <c r="I5" s="117"/>
      <c r="J5" s="1"/>
    </row>
    <row r="6" spans="1:10" ht="15" customHeight="1">
      <c r="A6" s="51">
        <v>710000</v>
      </c>
      <c r="B6" s="52"/>
      <c r="C6" s="53" t="s">
        <v>213</v>
      </c>
      <c r="D6" s="54">
        <f>D7+D9+D12+D14+D18+D20</f>
        <v>15142600</v>
      </c>
      <c r="E6" s="54">
        <f>E7+E9+E12+E14+E18+E20</f>
        <v>330000</v>
      </c>
      <c r="F6" s="54">
        <f>F7+F9+F12+F14+F18+F20</f>
        <v>15472600</v>
      </c>
      <c r="G6" s="55">
        <f>F6/D6*100</f>
        <v>102.17928228969926</v>
      </c>
      <c r="H6" s="168">
        <f t="shared" si="0"/>
        <v>55.75370157503865</v>
      </c>
      <c r="I6" s="117"/>
      <c r="J6" s="1"/>
    </row>
    <row r="7" spans="1:10" ht="15" customHeight="1">
      <c r="A7" s="58">
        <v>711100</v>
      </c>
      <c r="B7" s="59"/>
      <c r="C7" s="60" t="s">
        <v>183</v>
      </c>
      <c r="D7" s="61">
        <f>SUM(D8)</f>
        <v>600</v>
      </c>
      <c r="E7" s="61">
        <f>SUM(E8)</f>
        <v>0</v>
      </c>
      <c r="F7" s="61">
        <f>SUM(F8)</f>
        <v>600</v>
      </c>
      <c r="G7" s="441">
        <f aca="true" t="shared" si="1" ref="G7:G70">F7/D7*100</f>
        <v>100</v>
      </c>
      <c r="H7" s="442">
        <f t="shared" si="0"/>
        <v>0.002162029713495029</v>
      </c>
      <c r="I7" s="117"/>
      <c r="J7" s="1"/>
    </row>
    <row r="8" spans="1:10" ht="12" customHeight="1">
      <c r="A8" s="65">
        <v>711113</v>
      </c>
      <c r="B8" s="66"/>
      <c r="C8" s="67" t="s">
        <v>214</v>
      </c>
      <c r="D8" s="68">
        <v>600</v>
      </c>
      <c r="E8" s="68">
        <f>F8-D8</f>
        <v>0</v>
      </c>
      <c r="F8" s="68">
        <v>600</v>
      </c>
      <c r="G8" s="81">
        <f t="shared" si="1"/>
        <v>100</v>
      </c>
      <c r="H8" s="82">
        <f t="shared" si="0"/>
        <v>0.002162029713495029</v>
      </c>
      <c r="I8" s="117"/>
      <c r="J8" s="1"/>
    </row>
    <row r="9" spans="1:10" ht="15" customHeight="1">
      <c r="A9" s="51">
        <v>713000</v>
      </c>
      <c r="B9" s="52"/>
      <c r="C9" s="71" t="s">
        <v>4</v>
      </c>
      <c r="D9" s="61">
        <f>SUM(D10:D11)</f>
        <v>1090000</v>
      </c>
      <c r="E9" s="61">
        <f>SUM(E10:E11)</f>
        <v>85000</v>
      </c>
      <c r="F9" s="61">
        <f>SUM(F10:F11)</f>
        <v>1175000</v>
      </c>
      <c r="G9" s="62">
        <f t="shared" si="1"/>
        <v>107.79816513761469</v>
      </c>
      <c r="H9" s="64">
        <f t="shared" si="0"/>
        <v>4.2339748555944325</v>
      </c>
      <c r="I9" s="117"/>
      <c r="J9" s="1"/>
    </row>
    <row r="10" spans="1:12" ht="14.25" customHeight="1">
      <c r="A10" s="65" t="s">
        <v>5</v>
      </c>
      <c r="B10" s="66"/>
      <c r="C10" s="72" t="s">
        <v>215</v>
      </c>
      <c r="D10" s="68">
        <v>300000</v>
      </c>
      <c r="E10" s="68">
        <f>F10-D10</f>
        <v>10000</v>
      </c>
      <c r="F10" s="68">
        <v>310000</v>
      </c>
      <c r="G10" s="122">
        <f t="shared" si="1"/>
        <v>103.33333333333334</v>
      </c>
      <c r="H10" s="334">
        <f t="shared" si="0"/>
        <v>1.117048685305765</v>
      </c>
      <c r="I10" s="117"/>
      <c r="J10" s="1"/>
      <c r="K10" s="1"/>
      <c r="L10" s="1"/>
    </row>
    <row r="11" spans="1:10" ht="14.25" customHeight="1">
      <c r="A11" s="65" t="s">
        <v>6</v>
      </c>
      <c r="B11" s="66"/>
      <c r="C11" s="73" t="s">
        <v>7</v>
      </c>
      <c r="D11" s="68">
        <v>790000</v>
      </c>
      <c r="E11" s="68">
        <f>F11-D11</f>
        <v>75000</v>
      </c>
      <c r="F11" s="68">
        <v>865000</v>
      </c>
      <c r="G11" s="122">
        <f t="shared" si="1"/>
        <v>109.49367088607596</v>
      </c>
      <c r="H11" s="334">
        <f t="shared" si="0"/>
        <v>3.116926170288667</v>
      </c>
      <c r="I11" s="117"/>
      <c r="J11" s="1"/>
    </row>
    <row r="12" spans="1:10" ht="14.25" customHeight="1">
      <c r="A12" s="51">
        <v>714000</v>
      </c>
      <c r="B12" s="52"/>
      <c r="C12" s="71" t="s">
        <v>8</v>
      </c>
      <c r="D12" s="61">
        <f>SUM(D13:D13)</f>
        <v>250000</v>
      </c>
      <c r="E12" s="61">
        <f>SUM(E13:E13)</f>
        <v>10000</v>
      </c>
      <c r="F12" s="61">
        <f>SUM(F13:F13)</f>
        <v>260000</v>
      </c>
      <c r="G12" s="62">
        <f t="shared" si="1"/>
        <v>104</v>
      </c>
      <c r="H12" s="64">
        <f t="shared" si="0"/>
        <v>0.9368795425145127</v>
      </c>
      <c r="I12" s="117"/>
      <c r="J12" s="1"/>
    </row>
    <row r="13" spans="1:10" ht="14.25" customHeight="1">
      <c r="A13" s="74" t="s">
        <v>369</v>
      </c>
      <c r="B13" s="52"/>
      <c r="C13" s="75" t="s">
        <v>335</v>
      </c>
      <c r="D13" s="68">
        <v>250000</v>
      </c>
      <c r="E13" s="68">
        <f>F13-D13</f>
        <v>10000</v>
      </c>
      <c r="F13" s="68">
        <v>260000</v>
      </c>
      <c r="G13" s="122">
        <f t="shared" si="1"/>
        <v>104</v>
      </c>
      <c r="H13" s="334">
        <f t="shared" si="0"/>
        <v>0.9368795425145127</v>
      </c>
      <c r="I13" s="117"/>
      <c r="J13" s="1"/>
    </row>
    <row r="14" spans="1:10" ht="14.25" customHeight="1">
      <c r="A14" s="51">
        <v>715000</v>
      </c>
      <c r="B14" s="52"/>
      <c r="C14" s="71" t="s">
        <v>151</v>
      </c>
      <c r="D14" s="61">
        <f>SUM(D15:D17)</f>
        <v>2000</v>
      </c>
      <c r="E14" s="61">
        <f>SUM(E15:E17)</f>
        <v>0</v>
      </c>
      <c r="F14" s="61">
        <f>SUM(F15:F17)</f>
        <v>2000</v>
      </c>
      <c r="G14" s="62">
        <f t="shared" si="1"/>
        <v>100</v>
      </c>
      <c r="H14" s="64">
        <f t="shared" si="0"/>
        <v>0.007206765711650097</v>
      </c>
      <c r="I14" s="117"/>
      <c r="J14" s="1"/>
    </row>
    <row r="15" spans="1:10" ht="14.25" customHeight="1">
      <c r="A15" s="76">
        <v>715110</v>
      </c>
      <c r="B15" s="77"/>
      <c r="C15" s="72" t="s">
        <v>423</v>
      </c>
      <c r="D15" s="68">
        <v>2000</v>
      </c>
      <c r="E15" s="68">
        <f>F15-D15</f>
        <v>0</v>
      </c>
      <c r="F15" s="68">
        <v>2000</v>
      </c>
      <c r="G15" s="122">
        <f t="shared" si="1"/>
        <v>100</v>
      </c>
      <c r="H15" s="334">
        <f t="shared" si="0"/>
        <v>0.007206765711650097</v>
      </c>
      <c r="I15" s="117"/>
      <c r="J15" s="1"/>
    </row>
    <row r="16" spans="1:10" ht="14.25" customHeight="1" hidden="1">
      <c r="A16" s="65">
        <v>715210</v>
      </c>
      <c r="B16" s="66"/>
      <c r="C16" s="73" t="s">
        <v>424</v>
      </c>
      <c r="D16" s="68">
        <v>0</v>
      </c>
      <c r="E16" s="68">
        <v>0</v>
      </c>
      <c r="F16" s="68">
        <v>0</v>
      </c>
      <c r="G16" s="55" t="e">
        <f t="shared" si="1"/>
        <v>#DIV/0!</v>
      </c>
      <c r="H16" s="50">
        <f t="shared" si="0"/>
        <v>0</v>
      </c>
      <c r="I16" s="117"/>
      <c r="J16" s="1"/>
    </row>
    <row r="17" spans="1:10" ht="14.25" customHeight="1" hidden="1">
      <c r="A17" s="65">
        <v>715310</v>
      </c>
      <c r="B17" s="66"/>
      <c r="C17" s="73" t="s">
        <v>422</v>
      </c>
      <c r="D17" s="68">
        <v>0</v>
      </c>
      <c r="E17" s="68">
        <v>0</v>
      </c>
      <c r="F17" s="68">
        <v>0</v>
      </c>
      <c r="G17" s="55" t="e">
        <f t="shared" si="1"/>
        <v>#DIV/0!</v>
      </c>
      <c r="H17" s="50">
        <f t="shared" si="0"/>
        <v>0</v>
      </c>
      <c r="I17" s="117"/>
      <c r="J17" s="1"/>
    </row>
    <row r="18" spans="1:10" ht="14.25" customHeight="1">
      <c r="A18" s="51">
        <v>717000</v>
      </c>
      <c r="B18" s="52"/>
      <c r="C18" s="78" t="s">
        <v>300</v>
      </c>
      <c r="D18" s="61">
        <f>SUM(D19)</f>
        <v>12800000</v>
      </c>
      <c r="E18" s="61">
        <f>SUM(E19)</f>
        <v>135000</v>
      </c>
      <c r="F18" s="61">
        <f>SUM(F19)</f>
        <v>12935000</v>
      </c>
      <c r="G18" s="62">
        <f t="shared" si="1"/>
        <v>101.0546875</v>
      </c>
      <c r="H18" s="64">
        <f t="shared" si="0"/>
        <v>46.609757240097004</v>
      </c>
      <c r="I18" s="117"/>
      <c r="J18" s="1"/>
    </row>
    <row r="19" spans="1:10" ht="14.25" customHeight="1">
      <c r="A19" s="79" t="s">
        <v>455</v>
      </c>
      <c r="B19" s="77"/>
      <c r="C19" s="73" t="s">
        <v>300</v>
      </c>
      <c r="D19" s="68">
        <v>12800000</v>
      </c>
      <c r="E19" s="68">
        <f>F19-D19</f>
        <v>135000</v>
      </c>
      <c r="F19" s="68">
        <f>13000000-65000</f>
        <v>12935000</v>
      </c>
      <c r="G19" s="122">
        <f t="shared" si="1"/>
        <v>101.0546875</v>
      </c>
      <c r="H19" s="334">
        <f t="shared" si="0"/>
        <v>46.609757240097004</v>
      </c>
      <c r="I19" s="329"/>
      <c r="J19" s="1"/>
    </row>
    <row r="20" spans="1:10" ht="14.25" customHeight="1">
      <c r="A20" s="51">
        <v>719000</v>
      </c>
      <c r="B20" s="52"/>
      <c r="C20" s="71" t="s">
        <v>301</v>
      </c>
      <c r="D20" s="61">
        <f>SUM(D21)</f>
        <v>1000000</v>
      </c>
      <c r="E20" s="61">
        <f>SUM(E21)</f>
        <v>100000</v>
      </c>
      <c r="F20" s="61">
        <f>SUM(F21)</f>
        <v>1100000</v>
      </c>
      <c r="G20" s="62">
        <f t="shared" si="1"/>
        <v>110.00000000000001</v>
      </c>
      <c r="H20" s="64">
        <f t="shared" si="0"/>
        <v>3.9637211414075537</v>
      </c>
      <c r="I20" s="117"/>
      <c r="J20" s="1"/>
    </row>
    <row r="21" spans="1:10" ht="14.25" customHeight="1">
      <c r="A21" s="65">
        <v>719113</v>
      </c>
      <c r="B21" s="66"/>
      <c r="C21" s="72" t="s">
        <v>9</v>
      </c>
      <c r="D21" s="68">
        <f>45000+955000</f>
        <v>1000000</v>
      </c>
      <c r="E21" s="68">
        <f>F21-D21</f>
        <v>100000</v>
      </c>
      <c r="F21" s="68">
        <v>1100000</v>
      </c>
      <c r="G21" s="122">
        <f t="shared" si="1"/>
        <v>110.00000000000001</v>
      </c>
      <c r="H21" s="334">
        <f t="shared" si="0"/>
        <v>3.9637211414075537</v>
      </c>
      <c r="I21" s="117"/>
      <c r="J21" s="1"/>
    </row>
    <row r="22" spans="1:10" ht="15" customHeight="1">
      <c r="A22" s="51">
        <v>720000</v>
      </c>
      <c r="B22" s="52"/>
      <c r="C22" s="53" t="s">
        <v>216</v>
      </c>
      <c r="D22" s="54">
        <f>D23+D31+D77+D79+D82</f>
        <v>7274272.18</v>
      </c>
      <c r="E22" s="54">
        <f>E23+E31+E77+E79+E82</f>
        <v>1002297.82</v>
      </c>
      <c r="F22" s="54">
        <f>F23+F31+F77+F79+F82</f>
        <v>8276570</v>
      </c>
      <c r="G22" s="55">
        <f t="shared" si="1"/>
        <v>113.77866809487462</v>
      </c>
      <c r="H22" s="407">
        <f t="shared" si="0"/>
        <v>29.82365044303592</v>
      </c>
      <c r="I22" s="117"/>
      <c r="J22" s="1"/>
    </row>
    <row r="23" spans="1:10" ht="14.25" customHeight="1">
      <c r="A23" s="51">
        <v>721000</v>
      </c>
      <c r="B23" s="52"/>
      <c r="C23" s="60" t="s">
        <v>152</v>
      </c>
      <c r="D23" s="61">
        <f>D24+D29</f>
        <v>331300</v>
      </c>
      <c r="E23" s="61">
        <f>E24+E29</f>
        <v>-41300</v>
      </c>
      <c r="F23" s="61">
        <f>F24+F29</f>
        <v>290000</v>
      </c>
      <c r="G23" s="62">
        <f t="shared" si="1"/>
        <v>87.53395713854513</v>
      </c>
      <c r="H23" s="64">
        <f t="shared" si="0"/>
        <v>1.0449810281892642</v>
      </c>
      <c r="I23" s="117"/>
      <c r="J23" s="1"/>
    </row>
    <row r="24" spans="1:10" ht="13.5" customHeight="1">
      <c r="A24" s="58">
        <v>721200</v>
      </c>
      <c r="B24" s="59"/>
      <c r="C24" s="71" t="s">
        <v>153</v>
      </c>
      <c r="D24" s="80">
        <f>SUM(D25:D28)</f>
        <v>330000</v>
      </c>
      <c r="E24" s="80">
        <f>SUM(E25:E28)</f>
        <v>-40000</v>
      </c>
      <c r="F24" s="80">
        <f>SUM(F25:F28)</f>
        <v>290000</v>
      </c>
      <c r="G24" s="81">
        <f t="shared" si="1"/>
        <v>87.87878787878788</v>
      </c>
      <c r="H24" s="82">
        <f t="shared" si="0"/>
        <v>1.0449810281892642</v>
      </c>
      <c r="I24" s="117"/>
      <c r="J24" s="1"/>
    </row>
    <row r="25" spans="1:10" ht="14.25" customHeight="1">
      <c r="A25" s="65">
        <v>721222</v>
      </c>
      <c r="B25" s="66"/>
      <c r="C25" s="72" t="s">
        <v>555</v>
      </c>
      <c r="D25" s="68">
        <v>19500</v>
      </c>
      <c r="E25" s="68">
        <f>F25-D25</f>
        <v>0</v>
      </c>
      <c r="F25" s="68">
        <v>19500</v>
      </c>
      <c r="G25" s="122">
        <f t="shared" si="1"/>
        <v>100</v>
      </c>
      <c r="H25" s="334">
        <f t="shared" si="0"/>
        <v>0.07026596568858845</v>
      </c>
      <c r="I25" s="117"/>
      <c r="J25" s="1"/>
    </row>
    <row r="26" spans="1:10" ht="14.25" customHeight="1">
      <c r="A26" s="123">
        <v>721222</v>
      </c>
      <c r="B26" s="66"/>
      <c r="C26" s="72" t="s">
        <v>556</v>
      </c>
      <c r="D26" s="68">
        <v>44500</v>
      </c>
      <c r="E26" s="68">
        <f>F26-D26</f>
        <v>0</v>
      </c>
      <c r="F26" s="68">
        <v>44500</v>
      </c>
      <c r="G26" s="122">
        <f t="shared" si="1"/>
        <v>100</v>
      </c>
      <c r="H26" s="334">
        <f t="shared" si="0"/>
        <v>0.16035053708421465</v>
      </c>
      <c r="I26" s="117"/>
      <c r="J26" s="1"/>
    </row>
    <row r="27" spans="1:9" ht="14.25" customHeight="1">
      <c r="A27" s="65">
        <v>721223</v>
      </c>
      <c r="B27" s="66"/>
      <c r="C27" s="73" t="s">
        <v>10</v>
      </c>
      <c r="D27" s="68">
        <v>250000</v>
      </c>
      <c r="E27" s="68">
        <f>F27-D27</f>
        <v>-40000</v>
      </c>
      <c r="F27" s="68">
        <v>210000</v>
      </c>
      <c r="G27" s="122">
        <f t="shared" si="1"/>
        <v>84</v>
      </c>
      <c r="H27" s="334">
        <f t="shared" si="0"/>
        <v>0.7567103997232602</v>
      </c>
      <c r="I27" s="117"/>
    </row>
    <row r="28" spans="1:9" ht="14.25" customHeight="1">
      <c r="A28" s="65">
        <v>721224</v>
      </c>
      <c r="B28" s="66"/>
      <c r="C28" s="73" t="s">
        <v>217</v>
      </c>
      <c r="D28" s="68">
        <v>16000</v>
      </c>
      <c r="E28" s="68">
        <f>F28-D28</f>
        <v>0</v>
      </c>
      <c r="F28" s="68">
        <v>16000</v>
      </c>
      <c r="G28" s="122">
        <f t="shared" si="1"/>
        <v>100</v>
      </c>
      <c r="H28" s="334">
        <f t="shared" si="0"/>
        <v>0.057654125693200775</v>
      </c>
      <c r="I28" s="117"/>
    </row>
    <row r="29" spans="1:9" ht="14.25" customHeight="1">
      <c r="A29" s="58">
        <v>721300</v>
      </c>
      <c r="B29" s="59"/>
      <c r="C29" s="71" t="s">
        <v>154</v>
      </c>
      <c r="D29" s="80">
        <f>SUM(D30:D30)</f>
        <v>1300</v>
      </c>
      <c r="E29" s="80">
        <f>SUM(E30:E30)</f>
        <v>-1300</v>
      </c>
      <c r="F29" s="80">
        <f>SUM(F30:F30)</f>
        <v>0</v>
      </c>
      <c r="G29" s="81">
        <f t="shared" si="1"/>
        <v>0</v>
      </c>
      <c r="H29" s="82">
        <f t="shared" si="0"/>
        <v>0</v>
      </c>
      <c r="I29" s="117"/>
    </row>
    <row r="30" spans="1:9" ht="14.25" customHeight="1">
      <c r="A30" s="76">
        <v>721310</v>
      </c>
      <c r="B30" s="77"/>
      <c r="C30" s="72" t="s">
        <v>218</v>
      </c>
      <c r="D30" s="68">
        <v>1300</v>
      </c>
      <c r="E30" s="68">
        <f>F30-D30</f>
        <v>-1300</v>
      </c>
      <c r="F30" s="68">
        <v>0</v>
      </c>
      <c r="G30" s="122">
        <f t="shared" si="1"/>
        <v>0</v>
      </c>
      <c r="H30" s="334">
        <f t="shared" si="0"/>
        <v>0</v>
      </c>
      <c r="I30" s="117"/>
    </row>
    <row r="31" spans="1:9" ht="14.25" customHeight="1">
      <c r="A31" s="51">
        <v>722000</v>
      </c>
      <c r="B31" s="52"/>
      <c r="C31" s="71" t="s">
        <v>155</v>
      </c>
      <c r="D31" s="61">
        <f>D32+D35+D44+D54</f>
        <v>6534516.779999999</v>
      </c>
      <c r="E31" s="61">
        <f>E32+E35+E44+E54</f>
        <v>1058953.22</v>
      </c>
      <c r="F31" s="61">
        <f>F32+F35+F44+F54</f>
        <v>7593470</v>
      </c>
      <c r="G31" s="62">
        <f t="shared" si="1"/>
        <v>116.20553218626826</v>
      </c>
      <c r="H31" s="64">
        <f t="shared" si="0"/>
        <v>27.362179614221834</v>
      </c>
      <c r="I31" s="117"/>
    </row>
    <row r="32" spans="1:9" ht="14.25" customHeight="1">
      <c r="A32" s="58">
        <v>722100</v>
      </c>
      <c r="B32" s="59"/>
      <c r="C32" s="71" t="s">
        <v>11</v>
      </c>
      <c r="D32" s="83">
        <f>SUM(D33:D34)</f>
        <v>110000</v>
      </c>
      <c r="E32" s="83">
        <f>SUM(E33:E34)</f>
        <v>5000</v>
      </c>
      <c r="F32" s="83">
        <f>SUM(F33:F34)</f>
        <v>115000</v>
      </c>
      <c r="G32" s="81">
        <f t="shared" si="1"/>
        <v>104.54545454545455</v>
      </c>
      <c r="H32" s="82">
        <f t="shared" si="0"/>
        <v>0.41438902841988057</v>
      </c>
      <c r="I32" s="117"/>
    </row>
    <row r="33" spans="1:9" ht="13.5" customHeight="1" hidden="1">
      <c r="A33" s="65">
        <v>722118</v>
      </c>
      <c r="B33" s="59"/>
      <c r="C33" s="72" t="s">
        <v>344</v>
      </c>
      <c r="D33" s="68">
        <v>0</v>
      </c>
      <c r="E33" s="68">
        <v>0</v>
      </c>
      <c r="F33" s="68">
        <v>0</v>
      </c>
      <c r="G33" s="81" t="e">
        <f t="shared" si="1"/>
        <v>#DIV/0!</v>
      </c>
      <c r="H33" s="82">
        <f t="shared" si="0"/>
        <v>0</v>
      </c>
      <c r="I33" s="117"/>
    </row>
    <row r="34" spans="1:9" ht="14.25" customHeight="1">
      <c r="A34" s="65">
        <v>722121</v>
      </c>
      <c r="B34" s="66"/>
      <c r="C34" s="72" t="s">
        <v>12</v>
      </c>
      <c r="D34" s="94">
        <v>110000</v>
      </c>
      <c r="E34" s="94">
        <f>F34-D34</f>
        <v>5000</v>
      </c>
      <c r="F34" s="94">
        <v>115000</v>
      </c>
      <c r="G34" s="122">
        <f t="shared" si="1"/>
        <v>104.54545454545455</v>
      </c>
      <c r="H34" s="334">
        <f t="shared" si="0"/>
        <v>0.41438902841988057</v>
      </c>
      <c r="I34" s="117"/>
    </row>
    <row r="35" spans="1:9" ht="14.25" customHeight="1">
      <c r="A35" s="58">
        <v>722300</v>
      </c>
      <c r="B35" s="59"/>
      <c r="C35" s="71" t="s">
        <v>13</v>
      </c>
      <c r="D35" s="83">
        <f>SUM(D36:D43)</f>
        <v>357127.11</v>
      </c>
      <c r="E35" s="83">
        <f>SUM(E36:E43)</f>
        <v>19052.89</v>
      </c>
      <c r="F35" s="83">
        <f>SUM(F36:F43)</f>
        <v>376180</v>
      </c>
      <c r="G35" s="81">
        <f t="shared" si="1"/>
        <v>105.33504443277913</v>
      </c>
      <c r="H35" s="82">
        <f t="shared" si="0"/>
        <v>1.3555205627042668</v>
      </c>
      <c r="I35" s="117"/>
    </row>
    <row r="36" spans="1:9" ht="14.25" customHeight="1">
      <c r="A36" s="65">
        <v>722312</v>
      </c>
      <c r="B36" s="66"/>
      <c r="C36" s="72" t="s">
        <v>278</v>
      </c>
      <c r="D36" s="68">
        <v>40000</v>
      </c>
      <c r="E36" s="68">
        <f>F36-D36</f>
        <v>0</v>
      </c>
      <c r="F36" s="68">
        <v>40000</v>
      </c>
      <c r="G36" s="122">
        <f t="shared" si="1"/>
        <v>100</v>
      </c>
      <c r="H36" s="334">
        <f t="shared" si="0"/>
        <v>0.14413531423300194</v>
      </c>
      <c r="I36" s="329"/>
    </row>
    <row r="37" spans="1:9" ht="24" customHeight="1">
      <c r="A37" s="65">
        <v>722314</v>
      </c>
      <c r="B37" s="66"/>
      <c r="C37" s="72" t="s">
        <v>279</v>
      </c>
      <c r="D37" s="68">
        <v>47000</v>
      </c>
      <c r="E37" s="68">
        <f aca="true" t="shared" si="2" ref="E37:E43">F37-D37</f>
        <v>0</v>
      </c>
      <c r="F37" s="68">
        <v>47000</v>
      </c>
      <c r="G37" s="122">
        <f t="shared" si="1"/>
        <v>100</v>
      </c>
      <c r="H37" s="334">
        <f aca="true" t="shared" si="3" ref="H37:H68">F37/$F$117*100</f>
        <v>0.16935899422377726</v>
      </c>
      <c r="I37" s="117"/>
    </row>
    <row r="38" spans="1:9" ht="23.25" customHeight="1">
      <c r="A38" s="65">
        <v>722316</v>
      </c>
      <c r="B38" s="66"/>
      <c r="C38" s="72" t="s">
        <v>14</v>
      </c>
      <c r="D38" s="68">
        <v>327.11</v>
      </c>
      <c r="E38" s="68">
        <f t="shared" si="2"/>
        <v>52.889999999999986</v>
      </c>
      <c r="F38" s="68">
        <v>380</v>
      </c>
      <c r="G38" s="122">
        <f t="shared" si="1"/>
        <v>116.16887285622572</v>
      </c>
      <c r="H38" s="334">
        <f t="shared" si="3"/>
        <v>0.0013692854852135185</v>
      </c>
      <c r="I38" s="117"/>
    </row>
    <row r="39" spans="1:9" ht="25.5" customHeight="1">
      <c r="A39" s="65">
        <v>722317</v>
      </c>
      <c r="B39" s="66"/>
      <c r="C39" s="72" t="s">
        <v>280</v>
      </c>
      <c r="D39" s="68">
        <v>900</v>
      </c>
      <c r="E39" s="68">
        <f t="shared" si="2"/>
        <v>0</v>
      </c>
      <c r="F39" s="68">
        <v>900</v>
      </c>
      <c r="G39" s="122">
        <f t="shared" si="1"/>
        <v>100</v>
      </c>
      <c r="H39" s="334">
        <f t="shared" si="3"/>
        <v>0.0032430445702425438</v>
      </c>
      <c r="I39" s="117"/>
    </row>
    <row r="40" spans="1:10" ht="14.25" customHeight="1">
      <c r="A40" s="65">
        <v>722318</v>
      </c>
      <c r="B40" s="66"/>
      <c r="C40" s="72" t="s">
        <v>15</v>
      </c>
      <c r="D40" s="94">
        <v>2500</v>
      </c>
      <c r="E40" s="68">
        <f t="shared" si="2"/>
        <v>0</v>
      </c>
      <c r="F40" s="94">
        <v>2500</v>
      </c>
      <c r="G40" s="122">
        <f t="shared" si="1"/>
        <v>100</v>
      </c>
      <c r="H40" s="334">
        <f t="shared" si="3"/>
        <v>0.009008457139562621</v>
      </c>
      <c r="I40" s="117"/>
      <c r="J40" s="1"/>
    </row>
    <row r="41" spans="1:10" ht="24.75" customHeight="1">
      <c r="A41" s="65">
        <v>722319</v>
      </c>
      <c r="B41" s="66"/>
      <c r="C41" s="72" t="s">
        <v>560</v>
      </c>
      <c r="D41" s="94">
        <v>231000</v>
      </c>
      <c r="E41" s="68">
        <f t="shared" si="2"/>
        <v>19000</v>
      </c>
      <c r="F41" s="94">
        <v>250000</v>
      </c>
      <c r="G41" s="122">
        <f t="shared" si="1"/>
        <v>108.22510822510823</v>
      </c>
      <c r="H41" s="334">
        <f t="shared" si="3"/>
        <v>0.9008457139562621</v>
      </c>
      <c r="I41" s="329"/>
      <c r="J41" s="1"/>
    </row>
    <row r="42" spans="1:10" ht="24.75" customHeight="1">
      <c r="A42" s="65">
        <v>722391</v>
      </c>
      <c r="B42" s="66"/>
      <c r="C42" s="72" t="s">
        <v>16</v>
      </c>
      <c r="D42" s="68">
        <v>13000</v>
      </c>
      <c r="E42" s="68">
        <f t="shared" si="2"/>
        <v>0</v>
      </c>
      <c r="F42" s="68">
        <v>13000</v>
      </c>
      <c r="G42" s="122">
        <f t="shared" si="1"/>
        <v>100</v>
      </c>
      <c r="H42" s="334">
        <f t="shared" si="3"/>
        <v>0.04684397712572563</v>
      </c>
      <c r="I42" s="117"/>
      <c r="J42" s="1"/>
    </row>
    <row r="43" spans="1:10" ht="14.25" customHeight="1">
      <c r="A43" s="65">
        <v>722396</v>
      </c>
      <c r="B43" s="66"/>
      <c r="C43" s="72" t="s">
        <v>156</v>
      </c>
      <c r="D43" s="68">
        <v>22400</v>
      </c>
      <c r="E43" s="68">
        <f t="shared" si="2"/>
        <v>0</v>
      </c>
      <c r="F43" s="68">
        <v>22400</v>
      </c>
      <c r="G43" s="122">
        <f t="shared" si="1"/>
        <v>100</v>
      </c>
      <c r="H43" s="334">
        <f t="shared" si="3"/>
        <v>0.08071577597048109</v>
      </c>
      <c r="I43" s="117"/>
      <c r="J43" s="1"/>
    </row>
    <row r="44" spans="1:10" ht="14.25" customHeight="1">
      <c r="A44" s="58">
        <v>722400</v>
      </c>
      <c r="B44" s="59"/>
      <c r="C44" s="78" t="s">
        <v>17</v>
      </c>
      <c r="D44" s="81">
        <f>SUM(D45:D53)</f>
        <v>1144000</v>
      </c>
      <c r="E44" s="81">
        <f>SUM(E45:E53)</f>
        <v>24000</v>
      </c>
      <c r="F44" s="81">
        <f>SUM(F45:F53)</f>
        <v>1168000</v>
      </c>
      <c r="G44" s="81">
        <f t="shared" si="1"/>
        <v>102.09790209790211</v>
      </c>
      <c r="H44" s="82">
        <f t="shared" si="3"/>
        <v>4.208751175603656</v>
      </c>
      <c r="I44" s="117"/>
      <c r="J44" s="1"/>
    </row>
    <row r="45" spans="1:10" ht="14.25" customHeight="1">
      <c r="A45" s="65">
        <v>722411</v>
      </c>
      <c r="B45" s="66"/>
      <c r="C45" s="72" t="s">
        <v>276</v>
      </c>
      <c r="D45" s="68">
        <v>260000</v>
      </c>
      <c r="E45" s="68">
        <f>F45-D45</f>
        <v>-30000</v>
      </c>
      <c r="F45" s="68">
        <v>230000</v>
      </c>
      <c r="G45" s="122">
        <f t="shared" si="1"/>
        <v>88.46153846153845</v>
      </c>
      <c r="H45" s="334">
        <f t="shared" si="3"/>
        <v>0.8287780568397611</v>
      </c>
      <c r="I45" s="117"/>
      <c r="J45" s="1"/>
    </row>
    <row r="46" spans="1:10" ht="14.25" customHeight="1">
      <c r="A46" s="65">
        <v>722424</v>
      </c>
      <c r="B46" s="66"/>
      <c r="C46" s="72" t="s">
        <v>219</v>
      </c>
      <c r="D46" s="68">
        <v>52000</v>
      </c>
      <c r="E46" s="68">
        <f aca="true" t="shared" si="4" ref="E46:E53">F46-D46</f>
        <v>4000</v>
      </c>
      <c r="F46" s="68">
        <v>56000</v>
      </c>
      <c r="G46" s="122">
        <f t="shared" si="1"/>
        <v>107.6923076923077</v>
      </c>
      <c r="H46" s="334">
        <f t="shared" si="3"/>
        <v>0.2017894399262027</v>
      </c>
      <c r="I46" s="117"/>
      <c r="J46" s="1"/>
    </row>
    <row r="47" spans="1:10" ht="14.25" customHeight="1">
      <c r="A47" s="65">
        <v>722425</v>
      </c>
      <c r="B47" s="66"/>
      <c r="C47" s="72" t="s">
        <v>220</v>
      </c>
      <c r="D47" s="68">
        <v>80000</v>
      </c>
      <c r="E47" s="68">
        <f t="shared" si="4"/>
        <v>-40000</v>
      </c>
      <c r="F47" s="68">
        <v>40000</v>
      </c>
      <c r="G47" s="122">
        <f t="shared" si="1"/>
        <v>50</v>
      </c>
      <c r="H47" s="334">
        <f t="shared" si="3"/>
        <v>0.14413531423300194</v>
      </c>
      <c r="I47" s="117"/>
      <c r="J47" s="1"/>
    </row>
    <row r="48" spans="1:10" ht="36" customHeight="1">
      <c r="A48" s="65">
        <v>722435</v>
      </c>
      <c r="B48" s="66"/>
      <c r="C48" s="72" t="s">
        <v>277</v>
      </c>
      <c r="D48" s="94">
        <v>220000</v>
      </c>
      <c r="E48" s="68">
        <f t="shared" si="4"/>
        <v>30000</v>
      </c>
      <c r="F48" s="94">
        <v>250000</v>
      </c>
      <c r="G48" s="122">
        <f t="shared" si="1"/>
        <v>113.63636363636364</v>
      </c>
      <c r="H48" s="334">
        <f t="shared" si="3"/>
        <v>0.9008457139562621</v>
      </c>
      <c r="I48" s="117"/>
      <c r="J48" s="1"/>
    </row>
    <row r="49" spans="1:10" ht="24" customHeight="1">
      <c r="A49" s="65">
        <v>722437</v>
      </c>
      <c r="B49" s="66"/>
      <c r="C49" s="72" t="s">
        <v>231</v>
      </c>
      <c r="D49" s="68">
        <v>32000</v>
      </c>
      <c r="E49" s="68">
        <f t="shared" si="4"/>
        <v>0</v>
      </c>
      <c r="F49" s="68">
        <v>32000</v>
      </c>
      <c r="G49" s="122">
        <f t="shared" si="1"/>
        <v>100</v>
      </c>
      <c r="H49" s="334">
        <f t="shared" si="3"/>
        <v>0.11530825138640155</v>
      </c>
      <c r="I49" s="117"/>
      <c r="J49" s="1"/>
    </row>
    <row r="50" spans="1:10" ht="26.25" customHeight="1">
      <c r="A50" s="76">
        <v>722440</v>
      </c>
      <c r="B50" s="77"/>
      <c r="C50" s="75" t="s">
        <v>402</v>
      </c>
      <c r="D50" s="68">
        <v>125000</v>
      </c>
      <c r="E50" s="68">
        <f t="shared" si="4"/>
        <v>10000</v>
      </c>
      <c r="F50" s="68">
        <v>135000</v>
      </c>
      <c r="G50" s="122">
        <f t="shared" si="1"/>
        <v>108</v>
      </c>
      <c r="H50" s="334">
        <f t="shared" si="3"/>
        <v>0.48645668553638155</v>
      </c>
      <c r="I50" s="117"/>
      <c r="J50" s="1"/>
    </row>
    <row r="51" spans="1:10" ht="24.75" customHeight="1">
      <c r="A51" s="65">
        <v>722461</v>
      </c>
      <c r="B51" s="66"/>
      <c r="C51" s="72" t="s">
        <v>56</v>
      </c>
      <c r="D51" s="68">
        <v>190000</v>
      </c>
      <c r="E51" s="68">
        <f t="shared" si="4"/>
        <v>0</v>
      </c>
      <c r="F51" s="68">
        <v>190000</v>
      </c>
      <c r="G51" s="122">
        <f t="shared" si="1"/>
        <v>100</v>
      </c>
      <c r="H51" s="334">
        <f t="shared" si="3"/>
        <v>0.6846427426067592</v>
      </c>
      <c r="I51" s="117"/>
      <c r="J51" s="1"/>
    </row>
    <row r="52" spans="1:10" ht="13.5" customHeight="1">
      <c r="A52" s="65">
        <v>722467</v>
      </c>
      <c r="B52" s="66"/>
      <c r="C52" s="72" t="s">
        <v>18</v>
      </c>
      <c r="D52" s="68">
        <v>170000</v>
      </c>
      <c r="E52" s="68">
        <f t="shared" si="4"/>
        <v>50000</v>
      </c>
      <c r="F52" s="68">
        <v>220000</v>
      </c>
      <c r="G52" s="122">
        <f t="shared" si="1"/>
        <v>129.41176470588235</v>
      </c>
      <c r="H52" s="334">
        <f t="shared" si="3"/>
        <v>0.7927442282815106</v>
      </c>
      <c r="I52" s="117"/>
      <c r="J52" s="1"/>
    </row>
    <row r="53" spans="1:10" ht="24" customHeight="1">
      <c r="A53" s="65">
        <v>722491</v>
      </c>
      <c r="B53" s="66"/>
      <c r="C53" s="72" t="s">
        <v>275</v>
      </c>
      <c r="D53" s="68">
        <v>15000</v>
      </c>
      <c r="E53" s="68">
        <f t="shared" si="4"/>
        <v>0</v>
      </c>
      <c r="F53" s="68">
        <v>15000</v>
      </c>
      <c r="G53" s="122">
        <f t="shared" si="1"/>
        <v>100</v>
      </c>
      <c r="H53" s="334">
        <f t="shared" si="3"/>
        <v>0.05405074283737573</v>
      </c>
      <c r="I53" s="117"/>
      <c r="J53" s="1"/>
    </row>
    <row r="54" spans="1:10" ht="20.25" customHeight="1">
      <c r="A54" s="84">
        <v>722500</v>
      </c>
      <c r="B54" s="85"/>
      <c r="C54" s="71" t="s">
        <v>563</v>
      </c>
      <c r="D54" s="81">
        <f>D55+D57+D69</f>
        <v>4923389.67</v>
      </c>
      <c r="E54" s="81">
        <f>E55+E57+E69</f>
        <v>1010900.3300000001</v>
      </c>
      <c r="F54" s="81">
        <f>F55+F57+F69</f>
        <v>5934290</v>
      </c>
      <c r="G54" s="81">
        <f t="shared" si="1"/>
        <v>120.53260858387429</v>
      </c>
      <c r="H54" s="82">
        <f t="shared" si="3"/>
        <v>21.383518847494027</v>
      </c>
      <c r="I54" s="117"/>
      <c r="J54" s="1"/>
    </row>
    <row r="55" spans="1:10" ht="17.25" customHeight="1">
      <c r="A55" s="65"/>
      <c r="B55" s="366"/>
      <c r="C55" s="360" t="s">
        <v>592</v>
      </c>
      <c r="D55" s="362">
        <f>SUM(D56)</f>
        <v>7300</v>
      </c>
      <c r="E55" s="362">
        <f>SUM(E56)</f>
        <v>0</v>
      </c>
      <c r="F55" s="362">
        <f>SUM(F56)</f>
        <v>7300</v>
      </c>
      <c r="G55" s="81">
        <f t="shared" si="1"/>
        <v>100</v>
      </c>
      <c r="H55" s="82">
        <f t="shared" si="3"/>
        <v>0.026304694847522854</v>
      </c>
      <c r="I55" s="117"/>
      <c r="J55" s="1"/>
    </row>
    <row r="56" spans="1:10" ht="16.5" customHeight="1">
      <c r="A56" s="65">
        <v>722521</v>
      </c>
      <c r="B56" s="366"/>
      <c r="C56" s="363" t="s">
        <v>591</v>
      </c>
      <c r="D56" s="122">
        <v>7300</v>
      </c>
      <c r="E56" s="122">
        <f>F56-D56</f>
        <v>0</v>
      </c>
      <c r="F56" s="122">
        <v>7300</v>
      </c>
      <c r="G56" s="122">
        <f t="shared" si="1"/>
        <v>100</v>
      </c>
      <c r="H56" s="334">
        <f t="shared" si="3"/>
        <v>0.026304694847522854</v>
      </c>
      <c r="I56" s="117"/>
      <c r="J56" s="1"/>
    </row>
    <row r="57" spans="1:10" ht="19.5" customHeight="1">
      <c r="A57" s="65"/>
      <c r="B57" s="66"/>
      <c r="C57" s="365" t="s">
        <v>593</v>
      </c>
      <c r="D57" s="362">
        <f>SUM(D58:D68)</f>
        <v>4619689.67</v>
      </c>
      <c r="E57" s="362">
        <f>SUM(E58:E68)</f>
        <v>1000900.3300000001</v>
      </c>
      <c r="F57" s="362">
        <f>SUM(F58:F68)</f>
        <v>5620590</v>
      </c>
      <c r="G57" s="81">
        <f t="shared" si="1"/>
        <v>121.6659646317758</v>
      </c>
      <c r="H57" s="82">
        <f t="shared" si="3"/>
        <v>20.25313764562171</v>
      </c>
      <c r="I57" s="117"/>
      <c r="J57" s="1"/>
    </row>
    <row r="58" spans="1:10" ht="14.25" customHeight="1">
      <c r="A58" s="123">
        <v>722561</v>
      </c>
      <c r="B58" s="66"/>
      <c r="C58" s="72" t="s">
        <v>539</v>
      </c>
      <c r="D58" s="68">
        <v>205000</v>
      </c>
      <c r="E58" s="68">
        <f>F58-D58</f>
        <v>75000</v>
      </c>
      <c r="F58" s="68">
        <v>280000</v>
      </c>
      <c r="G58" s="122">
        <f t="shared" si="1"/>
        <v>136.58536585365854</v>
      </c>
      <c r="H58" s="334">
        <f t="shared" si="3"/>
        <v>1.0089471996310135</v>
      </c>
      <c r="I58" s="117"/>
      <c r="J58" s="1"/>
    </row>
    <row r="59" spans="1:10" ht="14.25" customHeight="1">
      <c r="A59" s="123">
        <v>722562</v>
      </c>
      <c r="B59" s="66"/>
      <c r="C59" s="72" t="s">
        <v>540</v>
      </c>
      <c r="D59" s="68">
        <v>59200</v>
      </c>
      <c r="E59" s="68">
        <f aca="true" t="shared" si="5" ref="E59:E68">F59-D59</f>
        <v>0</v>
      </c>
      <c r="F59" s="68">
        <v>59200</v>
      </c>
      <c r="G59" s="122">
        <f t="shared" si="1"/>
        <v>100</v>
      </c>
      <c r="H59" s="334">
        <f t="shared" si="3"/>
        <v>0.21332026506484286</v>
      </c>
      <c r="I59" s="117"/>
      <c r="J59" s="1"/>
    </row>
    <row r="60" spans="1:10" ht="14.25" customHeight="1">
      <c r="A60" s="123">
        <v>722565</v>
      </c>
      <c r="B60" s="66"/>
      <c r="C60" s="72" t="s">
        <v>601</v>
      </c>
      <c r="D60" s="68">
        <v>317789.67</v>
      </c>
      <c r="E60" s="68">
        <f t="shared" si="5"/>
        <v>182210.33000000002</v>
      </c>
      <c r="F60" s="68">
        <v>500000</v>
      </c>
      <c r="G60" s="122">
        <f t="shared" si="1"/>
        <v>157.33676931663638</v>
      </c>
      <c r="H60" s="334">
        <f t="shared" si="3"/>
        <v>1.8016914279125242</v>
      </c>
      <c r="I60" s="117"/>
      <c r="J60" s="1"/>
    </row>
    <row r="61" spans="1:10" ht="14.25" customHeight="1">
      <c r="A61" s="123">
        <v>722569</v>
      </c>
      <c r="B61" s="66"/>
      <c r="C61" s="72" t="s">
        <v>541</v>
      </c>
      <c r="D61" s="68">
        <v>56000</v>
      </c>
      <c r="E61" s="68">
        <f t="shared" si="5"/>
        <v>0</v>
      </c>
      <c r="F61" s="68">
        <v>56000</v>
      </c>
      <c r="G61" s="122">
        <f t="shared" si="1"/>
        <v>100</v>
      </c>
      <c r="H61" s="334">
        <f t="shared" si="3"/>
        <v>0.2017894399262027</v>
      </c>
      <c r="I61" s="117"/>
      <c r="J61" s="1"/>
    </row>
    <row r="62" spans="1:10" ht="14.25" customHeight="1">
      <c r="A62" s="123">
        <v>722571</v>
      </c>
      <c r="B62" s="66"/>
      <c r="C62" s="72" t="s">
        <v>542</v>
      </c>
      <c r="D62" s="68">
        <v>3300000</v>
      </c>
      <c r="E62" s="68">
        <f t="shared" si="5"/>
        <v>511690</v>
      </c>
      <c r="F62" s="68">
        <v>3811690</v>
      </c>
      <c r="G62" s="122">
        <f t="shared" si="1"/>
        <v>115.50575757575758</v>
      </c>
      <c r="H62" s="334">
        <f t="shared" si="3"/>
        <v>13.73497839771978</v>
      </c>
      <c r="I62" s="117"/>
      <c r="J62" s="1"/>
    </row>
    <row r="63" spans="1:10" ht="14.25" customHeight="1">
      <c r="A63" s="123">
        <v>722575</v>
      </c>
      <c r="B63" s="66"/>
      <c r="C63" s="72" t="s">
        <v>547</v>
      </c>
      <c r="D63" s="68">
        <v>237000</v>
      </c>
      <c r="E63" s="68">
        <f t="shared" si="5"/>
        <v>113000</v>
      </c>
      <c r="F63" s="68">
        <v>350000</v>
      </c>
      <c r="G63" s="122">
        <f t="shared" si="1"/>
        <v>147.67932489451476</v>
      </c>
      <c r="H63" s="334">
        <f t="shared" si="3"/>
        <v>1.261183999538767</v>
      </c>
      <c r="I63" s="117"/>
      <c r="J63" s="1"/>
    </row>
    <row r="64" spans="1:10" ht="14.25" customHeight="1">
      <c r="A64" s="123">
        <v>722576</v>
      </c>
      <c r="B64" s="66"/>
      <c r="C64" s="72" t="s">
        <v>543</v>
      </c>
      <c r="D64" s="68">
        <v>36000</v>
      </c>
      <c r="E64" s="68">
        <f t="shared" si="5"/>
        <v>0</v>
      </c>
      <c r="F64" s="68">
        <v>36000</v>
      </c>
      <c r="G64" s="122">
        <f t="shared" si="1"/>
        <v>100</v>
      </c>
      <c r="H64" s="334">
        <f t="shared" si="3"/>
        <v>0.12972178280970173</v>
      </c>
      <c r="I64" s="117"/>
      <c r="J64" s="1"/>
    </row>
    <row r="65" spans="1:10" ht="26.25" customHeight="1">
      <c r="A65" s="123">
        <v>722577</v>
      </c>
      <c r="B65" s="66"/>
      <c r="C65" s="72" t="s">
        <v>548</v>
      </c>
      <c r="D65" s="68">
        <v>229600</v>
      </c>
      <c r="E65" s="68">
        <f t="shared" si="5"/>
        <v>0</v>
      </c>
      <c r="F65" s="68">
        <v>229600</v>
      </c>
      <c r="G65" s="122">
        <f t="shared" si="1"/>
        <v>100</v>
      </c>
      <c r="H65" s="334">
        <f t="shared" si="3"/>
        <v>0.8273367036974311</v>
      </c>
      <c r="I65" s="117"/>
      <c r="J65" s="1"/>
    </row>
    <row r="66" spans="1:10" ht="14.25" customHeight="1">
      <c r="A66" s="123">
        <v>722578</v>
      </c>
      <c r="B66" s="66"/>
      <c r="C66" s="72" t="s">
        <v>544</v>
      </c>
      <c r="D66" s="68">
        <v>171000</v>
      </c>
      <c r="E66" s="68">
        <f t="shared" si="5"/>
        <v>119000</v>
      </c>
      <c r="F66" s="68">
        <v>290000</v>
      </c>
      <c r="G66" s="122">
        <f t="shared" si="1"/>
        <v>169.5906432748538</v>
      </c>
      <c r="H66" s="334">
        <f t="shared" si="3"/>
        <v>1.0449810281892642</v>
      </c>
      <c r="I66" s="117"/>
      <c r="J66" s="1"/>
    </row>
    <row r="67" spans="1:10" ht="14.25" customHeight="1">
      <c r="A67" s="123">
        <v>722583</v>
      </c>
      <c r="B67" s="66"/>
      <c r="C67" s="72" t="s">
        <v>545</v>
      </c>
      <c r="D67" s="68">
        <v>1600</v>
      </c>
      <c r="E67" s="68">
        <f t="shared" si="5"/>
        <v>0</v>
      </c>
      <c r="F67" s="68">
        <v>1600</v>
      </c>
      <c r="G67" s="122">
        <f t="shared" si="1"/>
        <v>100</v>
      </c>
      <c r="H67" s="334">
        <f t="shared" si="3"/>
        <v>0.005765412569320077</v>
      </c>
      <c r="I67" s="117"/>
      <c r="J67" s="1"/>
    </row>
    <row r="68" spans="1:10" ht="14.25" customHeight="1">
      <c r="A68" s="123">
        <v>722589</v>
      </c>
      <c r="B68" s="66"/>
      <c r="C68" s="72" t="s">
        <v>546</v>
      </c>
      <c r="D68" s="68">
        <v>6500</v>
      </c>
      <c r="E68" s="68">
        <f t="shared" si="5"/>
        <v>0</v>
      </c>
      <c r="F68" s="68">
        <v>6500</v>
      </c>
      <c r="G68" s="122">
        <f t="shared" si="1"/>
        <v>100</v>
      </c>
      <c r="H68" s="334">
        <f t="shared" si="3"/>
        <v>0.023421988562862817</v>
      </c>
      <c r="I68" s="117"/>
      <c r="J68" s="1"/>
    </row>
    <row r="69" spans="1:10" ht="20.25" customHeight="1">
      <c r="A69" s="123"/>
      <c r="B69" s="66"/>
      <c r="C69" s="71" t="s">
        <v>594</v>
      </c>
      <c r="D69" s="81">
        <f>SUM(D70:D76)</f>
        <v>296400</v>
      </c>
      <c r="E69" s="81">
        <f>SUM(E70:E76)</f>
        <v>10000</v>
      </c>
      <c r="F69" s="81">
        <f>SUM(F70:F76)</f>
        <v>306400</v>
      </c>
      <c r="G69" s="81">
        <f t="shared" si="1"/>
        <v>103.37381916329285</v>
      </c>
      <c r="H69" s="82">
        <f aca="true" t="shared" si="6" ref="H69:H104">F69/$F$117*100</f>
        <v>1.1040765070247949</v>
      </c>
      <c r="I69" s="117"/>
      <c r="J69" s="1"/>
    </row>
    <row r="70" spans="1:10" ht="14.25" customHeight="1">
      <c r="A70" s="65">
        <v>722591</v>
      </c>
      <c r="B70" s="66"/>
      <c r="C70" s="73" t="s">
        <v>372</v>
      </c>
      <c r="D70" s="68">
        <v>36500</v>
      </c>
      <c r="E70" s="68">
        <f>F70-D70</f>
        <v>10000</v>
      </c>
      <c r="F70" s="68">
        <v>46500</v>
      </c>
      <c r="G70" s="122">
        <f t="shared" si="1"/>
        <v>127.3972602739726</v>
      </c>
      <c r="H70" s="334">
        <f t="shared" si="6"/>
        <v>0.16755730279586475</v>
      </c>
      <c r="I70" s="117"/>
      <c r="J70" s="1"/>
    </row>
    <row r="71" spans="1:10" ht="14.25" customHeight="1">
      <c r="A71" s="65">
        <v>722591</v>
      </c>
      <c r="B71" s="66"/>
      <c r="C71" s="73" t="s">
        <v>374</v>
      </c>
      <c r="D71" s="68">
        <v>230000</v>
      </c>
      <c r="E71" s="68">
        <f aca="true" t="shared" si="7" ref="E71:E76">F71-D71</f>
        <v>0</v>
      </c>
      <c r="F71" s="68">
        <v>230000</v>
      </c>
      <c r="G71" s="122">
        <f aca="true" t="shared" si="8" ref="G71:G117">F71/D71*100</f>
        <v>100</v>
      </c>
      <c r="H71" s="334">
        <f t="shared" si="6"/>
        <v>0.8287780568397611</v>
      </c>
      <c r="I71" s="117"/>
      <c r="J71" s="1"/>
    </row>
    <row r="72" spans="1:10" ht="14.25" customHeight="1">
      <c r="A72" s="65">
        <v>722591</v>
      </c>
      <c r="B72" s="66"/>
      <c r="C72" s="73" t="s">
        <v>236</v>
      </c>
      <c r="D72" s="68">
        <v>7000</v>
      </c>
      <c r="E72" s="68">
        <f t="shared" si="7"/>
        <v>0</v>
      </c>
      <c r="F72" s="68">
        <v>7000</v>
      </c>
      <c r="G72" s="122">
        <f t="shared" si="8"/>
        <v>100</v>
      </c>
      <c r="H72" s="334">
        <f t="shared" si="6"/>
        <v>0.02522367999077534</v>
      </c>
      <c r="I72" s="117"/>
      <c r="J72" s="1"/>
    </row>
    <row r="73" spans="1:10" ht="14.25" customHeight="1">
      <c r="A73" s="65">
        <v>722591</v>
      </c>
      <c r="B73" s="66"/>
      <c r="C73" s="72" t="s">
        <v>233</v>
      </c>
      <c r="D73" s="68">
        <v>18000</v>
      </c>
      <c r="E73" s="68">
        <f t="shared" si="7"/>
        <v>0</v>
      </c>
      <c r="F73" s="68">
        <v>18000</v>
      </c>
      <c r="G73" s="122">
        <f t="shared" si="8"/>
        <v>100</v>
      </c>
      <c r="H73" s="334">
        <f t="shared" si="6"/>
        <v>0.06486089140485087</v>
      </c>
      <c r="I73" s="117"/>
      <c r="J73" s="1"/>
    </row>
    <row r="74" spans="1:10" ht="14.25" customHeight="1">
      <c r="A74" s="65">
        <v>722591</v>
      </c>
      <c r="B74" s="66"/>
      <c r="C74" s="73" t="s">
        <v>373</v>
      </c>
      <c r="D74" s="68">
        <v>2000</v>
      </c>
      <c r="E74" s="68">
        <f t="shared" si="7"/>
        <v>0</v>
      </c>
      <c r="F74" s="68">
        <v>2000</v>
      </c>
      <c r="G74" s="122">
        <f t="shared" si="8"/>
        <v>100</v>
      </c>
      <c r="H74" s="334">
        <f t="shared" si="6"/>
        <v>0.007206765711650097</v>
      </c>
      <c r="I74" s="117"/>
      <c r="J74" s="1"/>
    </row>
    <row r="75" spans="1:10" ht="14.25" customHeight="1">
      <c r="A75" s="65">
        <v>722591</v>
      </c>
      <c r="B75" s="66"/>
      <c r="C75" s="72" t="s">
        <v>375</v>
      </c>
      <c r="D75" s="68">
        <v>1400</v>
      </c>
      <c r="E75" s="68">
        <f t="shared" si="7"/>
        <v>0</v>
      </c>
      <c r="F75" s="68">
        <v>1400</v>
      </c>
      <c r="G75" s="122">
        <f t="shared" si="8"/>
        <v>100</v>
      </c>
      <c r="H75" s="334">
        <f t="shared" si="6"/>
        <v>0.005044735998155068</v>
      </c>
      <c r="I75" s="117"/>
      <c r="J75" s="1"/>
    </row>
    <row r="76" spans="1:10" ht="14.25" customHeight="1">
      <c r="A76" s="65">
        <v>722591</v>
      </c>
      <c r="B76" s="66"/>
      <c r="C76" s="72" t="s">
        <v>355</v>
      </c>
      <c r="D76" s="68">
        <v>1500</v>
      </c>
      <c r="E76" s="68">
        <f t="shared" si="7"/>
        <v>0</v>
      </c>
      <c r="F76" s="68">
        <v>1500</v>
      </c>
      <c r="G76" s="122">
        <f t="shared" si="8"/>
        <v>100</v>
      </c>
      <c r="H76" s="334">
        <f t="shared" si="6"/>
        <v>0.005405074283737573</v>
      </c>
      <c r="I76" s="117"/>
      <c r="J76" s="1"/>
    </row>
    <row r="77" spans="1:10" ht="14.25" customHeight="1">
      <c r="A77" s="51">
        <v>723000</v>
      </c>
      <c r="B77" s="52"/>
      <c r="C77" s="86" t="s">
        <v>19</v>
      </c>
      <c r="D77" s="87">
        <f>D78</f>
        <v>40900</v>
      </c>
      <c r="E77" s="87">
        <f>E78</f>
        <v>4100</v>
      </c>
      <c r="F77" s="87">
        <f>F78</f>
        <v>45000</v>
      </c>
      <c r="G77" s="62">
        <f t="shared" si="8"/>
        <v>110.02444987775061</v>
      </c>
      <c r="H77" s="64">
        <f t="shared" si="6"/>
        <v>0.16215222851212718</v>
      </c>
      <c r="I77" s="117"/>
      <c r="J77" s="1"/>
    </row>
    <row r="78" spans="1:10" ht="25.5" customHeight="1">
      <c r="A78" s="65">
        <v>723121</v>
      </c>
      <c r="B78" s="66"/>
      <c r="C78" s="72" t="s">
        <v>221</v>
      </c>
      <c r="D78" s="122">
        <v>40900</v>
      </c>
      <c r="E78" s="68">
        <f>F78-D78</f>
        <v>4100</v>
      </c>
      <c r="F78" s="122">
        <v>45000</v>
      </c>
      <c r="G78" s="122">
        <f t="shared" si="8"/>
        <v>110.02444987775061</v>
      </c>
      <c r="H78" s="334">
        <f t="shared" si="6"/>
        <v>0.16215222851212718</v>
      </c>
      <c r="I78" s="117"/>
      <c r="J78" s="1"/>
    </row>
    <row r="79" spans="1:10" ht="30" customHeight="1">
      <c r="A79" s="380">
        <v>728000</v>
      </c>
      <c r="B79" s="361"/>
      <c r="C79" s="360" t="s">
        <v>549</v>
      </c>
      <c r="D79" s="333">
        <f>SUM(D80:D81)</f>
        <v>33100</v>
      </c>
      <c r="E79" s="333">
        <f>SUM(E80:E81)</f>
        <v>0</v>
      </c>
      <c r="F79" s="333">
        <f>SUM(F80:F81)</f>
        <v>33100</v>
      </c>
      <c r="G79" s="62">
        <f t="shared" si="8"/>
        <v>100</v>
      </c>
      <c r="H79" s="64">
        <f t="shared" si="6"/>
        <v>0.1192719725278091</v>
      </c>
      <c r="I79" s="117"/>
      <c r="J79" s="1"/>
    </row>
    <row r="80" spans="1:10" ht="20.25" customHeight="1">
      <c r="A80" s="123">
        <v>728211</v>
      </c>
      <c r="B80" s="66"/>
      <c r="C80" s="72" t="s">
        <v>595</v>
      </c>
      <c r="D80" s="68">
        <v>30100</v>
      </c>
      <c r="E80" s="68">
        <f>F80-D80</f>
        <v>0</v>
      </c>
      <c r="F80" s="68">
        <v>30100</v>
      </c>
      <c r="G80" s="122">
        <f t="shared" si="8"/>
        <v>100</v>
      </c>
      <c r="H80" s="334">
        <f t="shared" si="6"/>
        <v>0.10846182396033396</v>
      </c>
      <c r="I80" s="117"/>
      <c r="J80" s="1"/>
    </row>
    <row r="81" spans="1:10" ht="29.25" customHeight="1">
      <c r="A81" s="123">
        <v>728251</v>
      </c>
      <c r="B81" s="66"/>
      <c r="C81" s="72" t="s">
        <v>596</v>
      </c>
      <c r="D81" s="68">
        <v>3000</v>
      </c>
      <c r="E81" s="68">
        <f>F81-D81</f>
        <v>0</v>
      </c>
      <c r="F81" s="68">
        <v>3000</v>
      </c>
      <c r="G81" s="122">
        <f t="shared" si="8"/>
        <v>100</v>
      </c>
      <c r="H81" s="334">
        <f t="shared" si="6"/>
        <v>0.010810148567475145</v>
      </c>
      <c r="I81" s="117"/>
      <c r="J81" s="1"/>
    </row>
    <row r="82" spans="1:10" ht="16.5" customHeight="1">
      <c r="A82" s="51">
        <v>729000</v>
      </c>
      <c r="B82" s="52"/>
      <c r="C82" s="71" t="s">
        <v>20</v>
      </c>
      <c r="D82" s="87">
        <f>SUM(D83:D83)</f>
        <v>334455.4</v>
      </c>
      <c r="E82" s="87">
        <f>SUM(E83:E83)</f>
        <v>-19455.400000000023</v>
      </c>
      <c r="F82" s="87">
        <f>SUM(F83:F83)</f>
        <v>315000</v>
      </c>
      <c r="G82" s="62">
        <f t="shared" si="8"/>
        <v>94.18296131561935</v>
      </c>
      <c r="H82" s="64">
        <f t="shared" si="6"/>
        <v>1.1350655995848902</v>
      </c>
      <c r="I82" s="117"/>
      <c r="J82" s="1"/>
    </row>
    <row r="83" spans="1:10" ht="21.75" customHeight="1">
      <c r="A83" s="65">
        <v>729124</v>
      </c>
      <c r="B83" s="66"/>
      <c r="C83" s="88" t="s">
        <v>371</v>
      </c>
      <c r="D83" s="68">
        <v>334455.4</v>
      </c>
      <c r="E83" s="68">
        <f>F83-D83</f>
        <v>-19455.400000000023</v>
      </c>
      <c r="F83" s="68">
        <v>315000</v>
      </c>
      <c r="G83" s="122">
        <f t="shared" si="8"/>
        <v>94.18296131561935</v>
      </c>
      <c r="H83" s="334">
        <f t="shared" si="6"/>
        <v>1.1350655995848902</v>
      </c>
      <c r="I83" s="117"/>
      <c r="J83" s="1"/>
    </row>
    <row r="84" spans="1:10" ht="16.5" customHeight="1">
      <c r="A84" s="89">
        <v>730000</v>
      </c>
      <c r="B84" s="90"/>
      <c r="C84" s="91" t="s">
        <v>222</v>
      </c>
      <c r="D84" s="54">
        <f>D85+D88</f>
        <v>90400</v>
      </c>
      <c r="E84" s="54">
        <f>E85+E88</f>
        <v>0</v>
      </c>
      <c r="F84" s="54">
        <f>F85+F88</f>
        <v>90400</v>
      </c>
      <c r="G84" s="55">
        <f t="shared" si="8"/>
        <v>100</v>
      </c>
      <c r="H84" s="407">
        <f t="shared" si="6"/>
        <v>0.3257458101665844</v>
      </c>
      <c r="I84" s="117"/>
      <c r="J84" s="1"/>
    </row>
    <row r="85" spans="1:10" ht="11.25" customHeight="1" hidden="1">
      <c r="A85" s="84">
        <v>731100</v>
      </c>
      <c r="B85" s="90"/>
      <c r="C85" s="92" t="s">
        <v>409</v>
      </c>
      <c r="D85" s="61">
        <f>SUM(D87:D87)</f>
        <v>0</v>
      </c>
      <c r="E85" s="61">
        <f>SUM(E87:E87)</f>
        <v>0</v>
      </c>
      <c r="F85" s="61">
        <f>SUM(F87:F87)</f>
        <v>0</v>
      </c>
      <c r="G85" s="62" t="e">
        <f t="shared" si="8"/>
        <v>#DIV/0!</v>
      </c>
      <c r="H85" s="64">
        <f t="shared" si="6"/>
        <v>0</v>
      </c>
      <c r="I85" s="117"/>
      <c r="J85" s="1"/>
    </row>
    <row r="86" spans="1:10" ht="25.5" customHeight="1" hidden="1">
      <c r="A86" s="79">
        <v>731120</v>
      </c>
      <c r="B86" s="90"/>
      <c r="C86" s="93" t="s">
        <v>411</v>
      </c>
      <c r="D86" s="94">
        <v>0</v>
      </c>
      <c r="E86" s="94">
        <v>0</v>
      </c>
      <c r="F86" s="94">
        <v>0</v>
      </c>
      <c r="G86" s="55" t="e">
        <f t="shared" si="8"/>
        <v>#DIV/0!</v>
      </c>
      <c r="H86" s="50">
        <f t="shared" si="6"/>
        <v>0</v>
      </c>
      <c r="I86" s="117"/>
      <c r="J86" s="1"/>
    </row>
    <row r="87" spans="1:10" ht="23.25" customHeight="1" hidden="1">
      <c r="A87" s="123">
        <v>731110</v>
      </c>
      <c r="B87" s="124"/>
      <c r="C87" s="125" t="s">
        <v>453</v>
      </c>
      <c r="D87" s="94">
        <v>0</v>
      </c>
      <c r="E87" s="94">
        <v>0</v>
      </c>
      <c r="F87" s="94">
        <v>0</v>
      </c>
      <c r="G87" s="55" t="e">
        <f t="shared" si="8"/>
        <v>#DIV/0!</v>
      </c>
      <c r="H87" s="50">
        <f t="shared" si="6"/>
        <v>0</v>
      </c>
      <c r="I87" s="117"/>
      <c r="J87" s="1"/>
    </row>
    <row r="88" spans="1:10" ht="18" customHeight="1">
      <c r="A88" s="84">
        <v>731200</v>
      </c>
      <c r="B88" s="85"/>
      <c r="C88" s="92" t="s">
        <v>171</v>
      </c>
      <c r="D88" s="61">
        <f>SUM(D89:D90)</f>
        <v>90400</v>
      </c>
      <c r="E88" s="61">
        <f>SUM(E89:E90)</f>
        <v>0</v>
      </c>
      <c r="F88" s="61">
        <f>SUM(F89:F90)</f>
        <v>90400</v>
      </c>
      <c r="G88" s="62">
        <f t="shared" si="8"/>
        <v>100</v>
      </c>
      <c r="H88" s="64">
        <f t="shared" si="6"/>
        <v>0.3257458101665844</v>
      </c>
      <c r="I88" s="117"/>
      <c r="J88" s="1"/>
    </row>
    <row r="89" spans="1:10" ht="39.75" customHeight="1">
      <c r="A89" s="79">
        <v>731220</v>
      </c>
      <c r="B89" s="97"/>
      <c r="C89" s="93" t="s">
        <v>657</v>
      </c>
      <c r="D89" s="68">
        <v>90000</v>
      </c>
      <c r="E89" s="94">
        <f>F89-D89</f>
        <v>0</v>
      </c>
      <c r="F89" s="68">
        <v>90000</v>
      </c>
      <c r="G89" s="122">
        <f t="shared" si="8"/>
        <v>100</v>
      </c>
      <c r="H89" s="334">
        <f t="shared" si="6"/>
        <v>0.32430445702425437</v>
      </c>
      <c r="I89" s="117"/>
      <c r="J89" s="1"/>
    </row>
    <row r="90" spans="1:10" ht="27.75" customHeight="1">
      <c r="A90" s="65">
        <v>731200</v>
      </c>
      <c r="B90" s="66"/>
      <c r="C90" s="75" t="s">
        <v>656</v>
      </c>
      <c r="D90" s="68">
        <v>400</v>
      </c>
      <c r="E90" s="94">
        <f>F90-D90</f>
        <v>0</v>
      </c>
      <c r="F90" s="68">
        <v>400</v>
      </c>
      <c r="G90" s="122">
        <f t="shared" si="8"/>
        <v>100</v>
      </c>
      <c r="H90" s="334">
        <f t="shared" si="6"/>
        <v>0.0014413531423300193</v>
      </c>
      <c r="I90" s="117"/>
      <c r="J90" s="1"/>
    </row>
    <row r="91" spans="1:10" s="2" customFormat="1" ht="19.5" customHeight="1">
      <c r="A91" s="89">
        <v>780000</v>
      </c>
      <c r="B91" s="90"/>
      <c r="C91" s="98" t="s">
        <v>302</v>
      </c>
      <c r="D91" s="54">
        <f>D92+D106</f>
        <v>1692372.89</v>
      </c>
      <c r="E91" s="54">
        <f>E92+E106</f>
        <v>1619332.1099999999</v>
      </c>
      <c r="F91" s="54">
        <f>F92+F106</f>
        <v>3311705</v>
      </c>
      <c r="G91" s="55">
        <f t="shared" si="8"/>
        <v>195.68412018228443</v>
      </c>
      <c r="H91" s="168">
        <f t="shared" si="6"/>
        <v>11.933341020550092</v>
      </c>
      <c r="I91" s="117"/>
      <c r="J91" s="1"/>
    </row>
    <row r="92" spans="1:10" s="2" customFormat="1" ht="27.75" customHeight="1">
      <c r="A92" s="51">
        <v>787000</v>
      </c>
      <c r="B92" s="52"/>
      <c r="C92" s="86" t="s">
        <v>316</v>
      </c>
      <c r="D92" s="61">
        <f>SUM(D93:D105)</f>
        <v>1637372.89</v>
      </c>
      <c r="E92" s="61">
        <f>SUM(E93:E105)</f>
        <v>1619332.1099999999</v>
      </c>
      <c r="F92" s="61">
        <f>SUM(F93:F105)</f>
        <v>3256705</v>
      </c>
      <c r="G92" s="62">
        <f t="shared" si="8"/>
        <v>198.89818744953084</v>
      </c>
      <c r="H92" s="64">
        <f t="shared" si="6"/>
        <v>11.735154963479715</v>
      </c>
      <c r="I92" s="117"/>
      <c r="J92" s="1"/>
    </row>
    <row r="93" spans="1:10" s="2" customFormat="1" ht="25.5" customHeight="1">
      <c r="A93" s="76">
        <v>787200</v>
      </c>
      <c r="B93" s="77"/>
      <c r="C93" s="166" t="s">
        <v>223</v>
      </c>
      <c r="D93" s="68">
        <v>1145000</v>
      </c>
      <c r="E93" s="68">
        <f>F93-D93</f>
        <v>34300</v>
      </c>
      <c r="F93" s="68">
        <v>1179300</v>
      </c>
      <c r="G93" s="122">
        <f t="shared" si="8"/>
        <v>102.99563318777291</v>
      </c>
      <c r="H93" s="334">
        <f t="shared" si="6"/>
        <v>4.24946940187448</v>
      </c>
      <c r="I93" s="117"/>
      <c r="J93" s="1"/>
    </row>
    <row r="94" spans="1:12" s="2" customFormat="1" ht="39.75" customHeight="1">
      <c r="A94" s="76">
        <v>787200</v>
      </c>
      <c r="B94" s="77"/>
      <c r="C94" s="166" t="s">
        <v>338</v>
      </c>
      <c r="D94" s="68">
        <v>19500</v>
      </c>
      <c r="E94" s="68">
        <f aca="true" t="shared" si="9" ref="E94:E105">F94-D94</f>
        <v>0</v>
      </c>
      <c r="F94" s="68">
        <v>19500</v>
      </c>
      <c r="G94" s="122">
        <f t="shared" si="8"/>
        <v>100</v>
      </c>
      <c r="H94" s="334">
        <f t="shared" si="6"/>
        <v>0.07026596568858845</v>
      </c>
      <c r="I94" s="117"/>
      <c r="J94" s="1"/>
      <c r="L94" s="392"/>
    </row>
    <row r="95" spans="1:14" s="2" customFormat="1" ht="25.5" customHeight="1">
      <c r="A95" s="76">
        <v>787200</v>
      </c>
      <c r="B95" s="77"/>
      <c r="C95" s="166" t="s">
        <v>410</v>
      </c>
      <c r="D95" s="68">
        <v>4910</v>
      </c>
      <c r="E95" s="68">
        <f t="shared" si="9"/>
        <v>0</v>
      </c>
      <c r="F95" s="68">
        <v>4910</v>
      </c>
      <c r="G95" s="122">
        <f t="shared" si="8"/>
        <v>100</v>
      </c>
      <c r="H95" s="334">
        <f t="shared" si="6"/>
        <v>0.01769260982210099</v>
      </c>
      <c r="I95" s="117"/>
      <c r="J95" s="1"/>
      <c r="L95" s="392"/>
      <c r="N95" s="393"/>
    </row>
    <row r="96" spans="1:12" s="2" customFormat="1" ht="23.25" customHeight="1">
      <c r="A96" s="76">
        <v>787200</v>
      </c>
      <c r="B96" s="77"/>
      <c r="C96" s="166" t="s">
        <v>425</v>
      </c>
      <c r="D96" s="68">
        <v>443000</v>
      </c>
      <c r="E96" s="68">
        <f t="shared" si="9"/>
        <v>0</v>
      </c>
      <c r="F96" s="68">
        <v>443000</v>
      </c>
      <c r="G96" s="122">
        <f t="shared" si="8"/>
        <v>100</v>
      </c>
      <c r="H96" s="334">
        <f t="shared" si="6"/>
        <v>1.5962986051304966</v>
      </c>
      <c r="I96" s="117"/>
      <c r="J96" s="1"/>
      <c r="L96" s="392"/>
    </row>
    <row r="97" spans="1:12" s="2" customFormat="1" ht="41.25" customHeight="1">
      <c r="A97" s="76">
        <v>787200</v>
      </c>
      <c r="B97" s="77"/>
      <c r="C97" s="166" t="s">
        <v>716</v>
      </c>
      <c r="D97" s="68">
        <v>0</v>
      </c>
      <c r="E97" s="68">
        <f t="shared" si="9"/>
        <v>7808</v>
      </c>
      <c r="F97" s="68">
        <v>7808</v>
      </c>
      <c r="G97" s="122" t="e">
        <f t="shared" si="8"/>
        <v>#DIV/0!</v>
      </c>
      <c r="H97" s="334">
        <f t="shared" si="6"/>
        <v>0.028135213338281978</v>
      </c>
      <c r="I97" s="117"/>
      <c r="J97" s="1"/>
      <c r="L97" s="392"/>
    </row>
    <row r="98" spans="1:10" s="2" customFormat="1" ht="36.75" customHeight="1">
      <c r="A98" s="76">
        <v>787200</v>
      </c>
      <c r="B98" s="77"/>
      <c r="C98" s="75" t="s">
        <v>653</v>
      </c>
      <c r="D98" s="68">
        <v>14580</v>
      </c>
      <c r="E98" s="68">
        <f t="shared" si="9"/>
        <v>20000</v>
      </c>
      <c r="F98" s="68">
        <v>34580</v>
      </c>
      <c r="G98" s="122">
        <f t="shared" si="8"/>
        <v>237.1742112482853</v>
      </c>
      <c r="H98" s="334">
        <f t="shared" si="6"/>
        <v>0.12460497915443018</v>
      </c>
      <c r="I98" s="117"/>
      <c r="J98" s="1"/>
    </row>
    <row r="99" spans="1:10" s="2" customFormat="1" ht="36.75" customHeight="1">
      <c r="A99" s="76">
        <v>787200</v>
      </c>
      <c r="B99" s="77"/>
      <c r="C99" s="75" t="s">
        <v>655</v>
      </c>
      <c r="D99" s="68">
        <v>2142.89</v>
      </c>
      <c r="E99" s="68">
        <f t="shared" si="9"/>
        <v>2.1100000000001273</v>
      </c>
      <c r="F99" s="68">
        <v>2145</v>
      </c>
      <c r="G99" s="122">
        <f t="shared" si="8"/>
        <v>100.0984651568676</v>
      </c>
      <c r="H99" s="334">
        <f t="shared" si="6"/>
        <v>0.00772925622574473</v>
      </c>
      <c r="I99" s="117"/>
      <c r="J99" s="1"/>
    </row>
    <row r="100" spans="1:10" s="471" customFormat="1" ht="36" customHeight="1">
      <c r="A100" s="123">
        <v>787200</v>
      </c>
      <c r="B100" s="205"/>
      <c r="C100" s="166" t="s">
        <v>722</v>
      </c>
      <c r="D100" s="68">
        <v>0</v>
      </c>
      <c r="E100" s="68">
        <f t="shared" si="9"/>
        <v>170000</v>
      </c>
      <c r="F100" s="68">
        <v>170000</v>
      </c>
      <c r="G100" s="122" t="e">
        <f t="shared" si="8"/>
        <v>#DIV/0!</v>
      </c>
      <c r="H100" s="334">
        <f t="shared" si="6"/>
        <v>0.6125750854902583</v>
      </c>
      <c r="I100" s="469"/>
      <c r="J100" s="470"/>
    </row>
    <row r="101" spans="1:10" s="471" customFormat="1" ht="39.75" customHeight="1">
      <c r="A101" s="123">
        <v>787200</v>
      </c>
      <c r="B101" s="205"/>
      <c r="C101" s="166" t="s">
        <v>720</v>
      </c>
      <c r="D101" s="68">
        <v>0</v>
      </c>
      <c r="E101" s="68">
        <f t="shared" si="9"/>
        <v>390000</v>
      </c>
      <c r="F101" s="68">
        <v>390000</v>
      </c>
      <c r="G101" s="122" t="e">
        <f t="shared" si="8"/>
        <v>#DIV/0!</v>
      </c>
      <c r="H101" s="334">
        <f t="shared" si="6"/>
        <v>1.405319313771769</v>
      </c>
      <c r="I101" s="469"/>
      <c r="J101" s="470"/>
    </row>
    <row r="102" spans="1:10" s="471" customFormat="1" ht="43.5" customHeight="1">
      <c r="A102" s="123">
        <v>787200</v>
      </c>
      <c r="B102" s="205"/>
      <c r="C102" s="166" t="s">
        <v>721</v>
      </c>
      <c r="D102" s="68">
        <v>0</v>
      </c>
      <c r="E102" s="68">
        <f t="shared" si="9"/>
        <v>1000000</v>
      </c>
      <c r="F102" s="68">
        <v>1000000</v>
      </c>
      <c r="G102" s="122" t="e">
        <f t="shared" si="8"/>
        <v>#DIV/0!</v>
      </c>
      <c r="H102" s="334">
        <f t="shared" si="6"/>
        <v>3.6033828558250485</v>
      </c>
      <c r="I102" s="469"/>
      <c r="J102" s="470"/>
    </row>
    <row r="103" spans="1:10" s="2" customFormat="1" ht="24" customHeight="1">
      <c r="A103" s="76">
        <v>787200</v>
      </c>
      <c r="B103" s="77"/>
      <c r="C103" s="75" t="s">
        <v>361</v>
      </c>
      <c r="D103" s="68">
        <v>5500</v>
      </c>
      <c r="E103" s="68">
        <f t="shared" si="9"/>
        <v>-2000</v>
      </c>
      <c r="F103" s="68">
        <v>3500</v>
      </c>
      <c r="G103" s="122">
        <f t="shared" si="8"/>
        <v>63.63636363636363</v>
      </c>
      <c r="H103" s="334">
        <f t="shared" si="6"/>
        <v>0.01261183999538767</v>
      </c>
      <c r="I103" s="117"/>
      <c r="J103" s="1"/>
    </row>
    <row r="104" spans="1:10" s="2" customFormat="1" ht="24" customHeight="1">
      <c r="A104" s="76">
        <v>787300</v>
      </c>
      <c r="B104" s="77"/>
      <c r="C104" s="75" t="s">
        <v>370</v>
      </c>
      <c r="D104" s="68">
        <v>1090</v>
      </c>
      <c r="E104" s="68">
        <f t="shared" si="9"/>
        <v>-228</v>
      </c>
      <c r="F104" s="68">
        <v>862</v>
      </c>
      <c r="G104" s="122">
        <f t="shared" si="8"/>
        <v>79.08256880733944</v>
      </c>
      <c r="H104" s="334">
        <f t="shared" si="6"/>
        <v>0.003106116021721192</v>
      </c>
      <c r="I104" s="117"/>
      <c r="J104" s="1"/>
    </row>
    <row r="105" spans="1:10" s="2" customFormat="1" ht="33" customHeight="1">
      <c r="A105" s="410">
        <v>787400</v>
      </c>
      <c r="B105" s="77"/>
      <c r="C105" s="75" t="s">
        <v>386</v>
      </c>
      <c r="D105" s="68">
        <v>1650</v>
      </c>
      <c r="E105" s="68">
        <f t="shared" si="9"/>
        <v>-550</v>
      </c>
      <c r="F105" s="68">
        <v>1100</v>
      </c>
      <c r="G105" s="122">
        <f t="shared" si="8"/>
        <v>66.66666666666666</v>
      </c>
      <c r="H105" s="334">
        <f aca="true" t="shared" si="10" ref="H105:H117">F105/$F$117*100</f>
        <v>0.003963721141407554</v>
      </c>
      <c r="I105" s="117"/>
      <c r="J105" s="1"/>
    </row>
    <row r="106" spans="1:10" s="2" customFormat="1" ht="16.5" customHeight="1">
      <c r="A106" s="126">
        <v>788000</v>
      </c>
      <c r="B106" s="127"/>
      <c r="C106" s="128" t="s">
        <v>454</v>
      </c>
      <c r="D106" s="61">
        <f>SUM(D107)</f>
        <v>55000</v>
      </c>
      <c r="E106" s="61">
        <f>SUM(E107)</f>
        <v>0</v>
      </c>
      <c r="F106" s="61">
        <f>SUM(F107)</f>
        <v>55000</v>
      </c>
      <c r="G106" s="62">
        <f t="shared" si="8"/>
        <v>100</v>
      </c>
      <c r="H106" s="50">
        <f t="shared" si="10"/>
        <v>0.19818605707037765</v>
      </c>
      <c r="I106" s="117"/>
      <c r="J106" s="1"/>
    </row>
    <row r="107" spans="1:10" s="2" customFormat="1" ht="21.75" customHeight="1">
      <c r="A107" s="76">
        <v>788100</v>
      </c>
      <c r="B107" s="77"/>
      <c r="C107" s="75" t="s">
        <v>667</v>
      </c>
      <c r="D107" s="68">
        <v>55000</v>
      </c>
      <c r="E107" s="68">
        <f>F107-D107</f>
        <v>0</v>
      </c>
      <c r="F107" s="68">
        <v>55000</v>
      </c>
      <c r="G107" s="122">
        <f t="shared" si="8"/>
        <v>100</v>
      </c>
      <c r="H107" s="334">
        <f t="shared" si="10"/>
        <v>0.19818605707037765</v>
      </c>
      <c r="I107" s="117"/>
      <c r="J107" s="1"/>
    </row>
    <row r="108" spans="1:10" ht="17.25" customHeight="1">
      <c r="A108" s="51">
        <v>810000</v>
      </c>
      <c r="B108" s="411"/>
      <c r="C108" s="99" t="s">
        <v>259</v>
      </c>
      <c r="D108" s="48">
        <f>D109+D111+D113+D115</f>
        <v>595424.6</v>
      </c>
      <c r="E108" s="48">
        <f>E109+E111+E113+E115</f>
        <v>5000.4</v>
      </c>
      <c r="F108" s="48">
        <f>F109+F111+F113+F115</f>
        <v>600425</v>
      </c>
      <c r="G108" s="408">
        <f t="shared" si="8"/>
        <v>100.83980406587165</v>
      </c>
      <c r="H108" s="50">
        <f t="shared" si="10"/>
        <v>2.163561151208755</v>
      </c>
      <c r="I108" s="117"/>
      <c r="J108" s="1"/>
    </row>
    <row r="109" spans="1:10" ht="11.25" customHeight="1" hidden="1">
      <c r="A109" s="51">
        <v>811000</v>
      </c>
      <c r="B109" s="52"/>
      <c r="C109" s="86" t="s">
        <v>170</v>
      </c>
      <c r="D109" s="61">
        <f>SUM(D110:D110)</f>
        <v>0</v>
      </c>
      <c r="E109" s="61">
        <f>SUM(E110:E110)</f>
        <v>0</v>
      </c>
      <c r="F109" s="61">
        <f>SUM(F110:F110)</f>
        <v>0</v>
      </c>
      <c r="G109" s="55" t="e">
        <f t="shared" si="8"/>
        <v>#DIV/0!</v>
      </c>
      <c r="H109" s="50">
        <f t="shared" si="10"/>
        <v>0</v>
      </c>
      <c r="I109" s="117"/>
      <c r="J109" s="1"/>
    </row>
    <row r="110" spans="1:10" ht="14.25" customHeight="1" hidden="1">
      <c r="A110" s="65">
        <v>811110</v>
      </c>
      <c r="B110" s="100" t="s">
        <v>23</v>
      </c>
      <c r="C110" s="75" t="s">
        <v>485</v>
      </c>
      <c r="D110" s="68">
        <v>0</v>
      </c>
      <c r="E110" s="68">
        <v>0</v>
      </c>
      <c r="F110" s="68">
        <v>0</v>
      </c>
      <c r="G110" s="55" t="e">
        <f t="shared" si="8"/>
        <v>#DIV/0!</v>
      </c>
      <c r="H110" s="50">
        <f t="shared" si="10"/>
        <v>0</v>
      </c>
      <c r="I110" s="117"/>
      <c r="J110" s="1"/>
    </row>
    <row r="111" spans="1:11" ht="19.5" customHeight="1">
      <c r="A111" s="51">
        <v>813000</v>
      </c>
      <c r="B111" s="52"/>
      <c r="C111" s="86" t="s">
        <v>157</v>
      </c>
      <c r="D111" s="61">
        <f>SUM(D112:D112)</f>
        <v>557000</v>
      </c>
      <c r="E111" s="61">
        <f>SUM(E112:E112)</f>
        <v>0</v>
      </c>
      <c r="F111" s="61">
        <f>SUM(F112:F112)</f>
        <v>557000</v>
      </c>
      <c r="G111" s="62">
        <f t="shared" si="8"/>
        <v>100</v>
      </c>
      <c r="H111" s="64">
        <f t="shared" si="10"/>
        <v>2.007084250694552</v>
      </c>
      <c r="I111" s="117"/>
      <c r="J111" s="1"/>
      <c r="K111" s="1"/>
    </row>
    <row r="112" spans="1:9" ht="14.25" customHeight="1">
      <c r="A112" s="65">
        <v>813110</v>
      </c>
      <c r="B112" s="100" t="s">
        <v>23</v>
      </c>
      <c r="C112" s="75" t="s">
        <v>158</v>
      </c>
      <c r="D112" s="68">
        <v>557000</v>
      </c>
      <c r="E112" s="68">
        <f>F112-D112</f>
        <v>0</v>
      </c>
      <c r="F112" s="68">
        <v>557000</v>
      </c>
      <c r="G112" s="122">
        <f t="shared" si="8"/>
        <v>100</v>
      </c>
      <c r="H112" s="334">
        <f t="shared" si="10"/>
        <v>2.007084250694552</v>
      </c>
      <c r="I112" s="117"/>
    </row>
    <row r="113" spans="1:9" ht="27" customHeight="1">
      <c r="A113" s="435">
        <v>814000</v>
      </c>
      <c r="B113" s="100"/>
      <c r="C113" s="128" t="s">
        <v>661</v>
      </c>
      <c r="D113" s="362">
        <f>SUM(D114)</f>
        <v>424.6</v>
      </c>
      <c r="E113" s="362">
        <f>SUM(E114)</f>
        <v>0.39999999999997726</v>
      </c>
      <c r="F113" s="362">
        <f>SUM(F114)</f>
        <v>425</v>
      </c>
      <c r="G113" s="362">
        <f t="shared" si="8"/>
        <v>100.09420631182289</v>
      </c>
      <c r="H113" s="437">
        <f t="shared" si="10"/>
        <v>0.0015314377137256455</v>
      </c>
      <c r="I113" s="117"/>
    </row>
    <row r="114" spans="1:9" ht="18" customHeight="1">
      <c r="A114" s="433">
        <v>814112</v>
      </c>
      <c r="B114" s="100" t="s">
        <v>31</v>
      </c>
      <c r="C114" s="436" t="s">
        <v>662</v>
      </c>
      <c r="D114" s="68">
        <v>424.6</v>
      </c>
      <c r="E114" s="68">
        <f>F114-D114</f>
        <v>0.39999999999997726</v>
      </c>
      <c r="F114" s="68">
        <v>425</v>
      </c>
      <c r="G114" s="122">
        <f t="shared" si="8"/>
        <v>100.09420631182289</v>
      </c>
      <c r="H114" s="334">
        <f t="shared" si="10"/>
        <v>0.0015314377137256455</v>
      </c>
      <c r="I114" s="117"/>
    </row>
    <row r="115" spans="1:10" ht="22.5" customHeight="1">
      <c r="A115" s="51">
        <v>816000</v>
      </c>
      <c r="B115" s="52"/>
      <c r="C115" s="86" t="s">
        <v>247</v>
      </c>
      <c r="D115" s="61">
        <f>SUM(D116)</f>
        <v>38000</v>
      </c>
      <c r="E115" s="61">
        <f>SUM(E116)</f>
        <v>5000</v>
      </c>
      <c r="F115" s="61">
        <f>SUM(F116)</f>
        <v>43000</v>
      </c>
      <c r="G115" s="62">
        <f t="shared" si="8"/>
        <v>113.1578947368421</v>
      </c>
      <c r="H115" s="64">
        <f t="shared" si="10"/>
        <v>0.15494546280047708</v>
      </c>
      <c r="I115" s="117"/>
      <c r="J115" s="1"/>
    </row>
    <row r="116" spans="1:10" ht="15" customHeight="1">
      <c r="A116" s="76">
        <v>816150</v>
      </c>
      <c r="B116" s="100" t="s">
        <v>31</v>
      </c>
      <c r="C116" s="75" t="s">
        <v>163</v>
      </c>
      <c r="D116" s="68">
        <v>38000</v>
      </c>
      <c r="E116" s="68">
        <f>F116-D116</f>
        <v>5000</v>
      </c>
      <c r="F116" s="68">
        <v>43000</v>
      </c>
      <c r="G116" s="122">
        <f t="shared" si="8"/>
        <v>113.1578947368421</v>
      </c>
      <c r="H116" s="334">
        <f t="shared" si="10"/>
        <v>0.15494546280047708</v>
      </c>
      <c r="I116" s="117"/>
      <c r="J116" s="1"/>
    </row>
    <row r="117" spans="1:10" ht="29.25" customHeight="1" thickBot="1">
      <c r="A117" s="378"/>
      <c r="B117" s="101"/>
      <c r="C117" s="102" t="s">
        <v>260</v>
      </c>
      <c r="D117" s="103">
        <f>D5+D108</f>
        <v>24795069.67</v>
      </c>
      <c r="E117" s="103">
        <f>E5+E108</f>
        <v>2956630.3299999996</v>
      </c>
      <c r="F117" s="103">
        <f>F5+F108</f>
        <v>27751700</v>
      </c>
      <c r="G117" s="409">
        <f t="shared" si="8"/>
        <v>111.92426707950443</v>
      </c>
      <c r="H117" s="105">
        <f t="shared" si="10"/>
        <v>100</v>
      </c>
      <c r="I117" s="117"/>
      <c r="J117" s="1"/>
    </row>
    <row r="118" spans="1:10" ht="20.25" customHeight="1" thickTop="1">
      <c r="A118" s="23"/>
      <c r="B118" s="23"/>
      <c r="C118" s="29"/>
      <c r="D118" s="28"/>
      <c r="E118" s="28"/>
      <c r="F118" s="28"/>
      <c r="G118" s="28"/>
      <c r="H118"/>
      <c r="J118" s="1"/>
    </row>
    <row r="119" spans="1:7" s="21" customFormat="1" ht="14.25">
      <c r="A119" s="4"/>
      <c r="B119" s="4"/>
      <c r="C119" s="449"/>
      <c r="D119" s="23"/>
      <c r="E119" s="23"/>
      <c r="F119" s="23"/>
      <c r="G119" s="23"/>
    </row>
    <row r="120" spans="1:7" s="21" customFormat="1" ht="2.25" customHeight="1" hidden="1">
      <c r="A120" s="4"/>
      <c r="B120" s="4"/>
      <c r="C120" s="449" t="s">
        <v>394</v>
      </c>
      <c r="D120" s="23">
        <f>Finansiranje!C12</f>
        <v>5000000</v>
      </c>
      <c r="E120" s="23">
        <f>Finansiranje!D12</f>
        <v>-1300000</v>
      </c>
      <c r="F120" s="23">
        <f>Finansiranje!E12</f>
        <v>3700000</v>
      </c>
      <c r="G120" s="23">
        <f>F120/D120*100</f>
        <v>74</v>
      </c>
    </row>
    <row r="121" spans="1:7" s="21" customFormat="1" ht="19.5" customHeight="1" hidden="1">
      <c r="A121" s="4"/>
      <c r="B121" s="4"/>
      <c r="C121" s="449" t="s">
        <v>312</v>
      </c>
      <c r="D121" s="23">
        <f>Finansiranje!C23+Finansiranje!C24+Finansiranje!C26+Finansiranje!C27</f>
        <v>439910.33</v>
      </c>
      <c r="E121" s="23">
        <f>Finansiranje!D23+Finansiranje!D24+Finansiranje!D26+Finansiranje!D27</f>
        <v>-96630.33</v>
      </c>
      <c r="F121" s="23">
        <f>Finansiranje!E23+Finansiranje!E24+Finansiranje!E26+Finansiranje!E27</f>
        <v>343280</v>
      </c>
      <c r="G121" s="23">
        <f>F121/D121*100</f>
        <v>78.03408480996569</v>
      </c>
    </row>
    <row r="122" spans="1:7" s="21" customFormat="1" ht="17.25" customHeight="1" hidden="1">
      <c r="A122" s="4"/>
      <c r="B122" s="4"/>
      <c r="C122" s="449" t="s">
        <v>696</v>
      </c>
      <c r="D122" s="23">
        <f>Finansiranje!C37</f>
        <v>225020</v>
      </c>
      <c r="E122" s="23">
        <f>Finansiranje!D37</f>
        <v>0</v>
      </c>
      <c r="F122" s="23">
        <f>Finansiranje!E37</f>
        <v>225020</v>
      </c>
      <c r="G122" s="23">
        <f>F122/D122*100</f>
        <v>100</v>
      </c>
    </row>
    <row r="123" spans="1:8" s="21" customFormat="1" ht="16.5" customHeight="1" hidden="1">
      <c r="A123" s="4"/>
      <c r="B123" s="4"/>
      <c r="C123" s="450" t="s">
        <v>697</v>
      </c>
      <c r="D123" s="451">
        <f>D120+D121+D122</f>
        <v>5664930.33</v>
      </c>
      <c r="E123" s="451">
        <f>E120+E121+E122</f>
        <v>-1396630.33</v>
      </c>
      <c r="F123" s="451">
        <f>F120+F121+F122</f>
        <v>4268300</v>
      </c>
      <c r="G123" s="23">
        <f>F123/D123*100</f>
        <v>75.34602813023474</v>
      </c>
      <c r="H123" s="452"/>
    </row>
    <row r="124" spans="3:7" ht="21" customHeight="1" hidden="1">
      <c r="C124" s="453" t="s">
        <v>698</v>
      </c>
      <c r="D124" s="23">
        <f>D117+D123</f>
        <v>30460000</v>
      </c>
      <c r="E124" s="23">
        <f>E117+E123</f>
        <v>1559999.9999999995</v>
      </c>
      <c r="F124" s="23">
        <f>F117+F123</f>
        <v>32020000</v>
      </c>
      <c r="G124" s="23">
        <f>F124/D124*100</f>
        <v>105.12147078135258</v>
      </c>
    </row>
    <row r="125" ht="15" customHeight="1"/>
    <row r="126" ht="3" customHeight="1" hidden="1">
      <c r="C126" s="454" t="s">
        <v>699</v>
      </c>
    </row>
    <row r="127" spans="3:6" ht="14.25" customHeight="1" hidden="1">
      <c r="C127" s="379" t="s">
        <v>700</v>
      </c>
      <c r="D127" s="23">
        <f>D26+D57+D79+D107</f>
        <v>4752289.67</v>
      </c>
      <c r="E127" s="23">
        <f>E26+E57+E79+E107</f>
        <v>1000900.3300000001</v>
      </c>
      <c r="F127" s="23">
        <f>F26+F57+F79+F107</f>
        <v>5753190</v>
      </c>
    </row>
    <row r="128" spans="3:6" ht="12.75" customHeight="1" hidden="1">
      <c r="C128" s="379" t="s">
        <v>701</v>
      </c>
      <c r="D128" s="23">
        <f>Finansiranje!C23+Finansiranje!C24+Finansiranje!C27</f>
        <v>169910.33000000002</v>
      </c>
      <c r="E128" s="23">
        <f>Finansiranje!D23+Finansiranje!D24+Finansiranje!D27</f>
        <v>-0.33000000000174623</v>
      </c>
      <c r="F128" s="23">
        <f>Finansiranje!E23+Finansiranje!E24+Finansiranje!E27</f>
        <v>169910</v>
      </c>
    </row>
    <row r="129" spans="3:6" ht="11.25" customHeight="1" hidden="1">
      <c r="C129" s="454" t="s">
        <v>715</v>
      </c>
      <c r="D129" s="451">
        <f>D127+D128</f>
        <v>4922200</v>
      </c>
      <c r="E129" s="451">
        <f>E127+E128</f>
        <v>1000900.0000000001</v>
      </c>
      <c r="F129" s="451">
        <f>F127+F128</f>
        <v>5923100</v>
      </c>
    </row>
    <row r="130" spans="3:6" ht="12.75" hidden="1">
      <c r="C130" s="454" t="s">
        <v>702</v>
      </c>
      <c r="D130" s="451">
        <f>Org!E471</f>
        <v>4922200</v>
      </c>
      <c r="E130" s="451">
        <f>Org!F471</f>
        <v>1000900</v>
      </c>
      <c r="F130" s="451">
        <f>Org!G471</f>
        <v>5923100</v>
      </c>
    </row>
    <row r="131" spans="3:6" ht="12.75" hidden="1">
      <c r="C131" s="379" t="s">
        <v>703</v>
      </c>
      <c r="D131" s="23">
        <f>D129-D130</f>
        <v>0</v>
      </c>
      <c r="E131" s="23">
        <f>E129-E130</f>
        <v>0</v>
      </c>
      <c r="F131" s="23">
        <f>F129-F130</f>
        <v>0</v>
      </c>
    </row>
    <row r="132" ht="30" customHeight="1"/>
  </sheetData>
  <sheetProtection/>
  <mergeCells count="10">
    <mergeCell ref="F2:F3"/>
    <mergeCell ref="I2:I3"/>
    <mergeCell ref="D2:D3"/>
    <mergeCell ref="A1:H1"/>
    <mergeCell ref="A2:A3"/>
    <mergeCell ref="C2:C3"/>
    <mergeCell ref="B2:B3"/>
    <mergeCell ref="G2:G3"/>
    <mergeCell ref="H2:H3"/>
    <mergeCell ref="E2:E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scale="95" r:id="rId1"/>
  <headerFooter alignWithMargins="0">
    <oddFooter>&amp;R&amp;P</oddFooter>
  </headerFooter>
  <rowBreaks count="4" manualBreakCount="4">
    <brk id="37" max="7" man="1"/>
    <brk id="61" max="7" man="1"/>
    <brk id="89" max="7" man="1"/>
    <brk id="103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70" workbookViewId="0" topLeftCell="A36">
      <selection activeCell="I60" sqref="I60"/>
    </sheetView>
  </sheetViews>
  <sheetFormatPr defaultColWidth="9.140625" defaultRowHeight="12.75" customHeight="1"/>
  <cols>
    <col min="1" max="1" width="8.8515625" style="0" customWidth="1"/>
    <col min="2" max="2" width="60.8515625" style="0" customWidth="1"/>
    <col min="3" max="5" width="16.421875" style="0" customWidth="1"/>
    <col min="6" max="6" width="11.140625" style="0" customWidth="1"/>
    <col min="7" max="7" width="10.57421875" style="0" customWidth="1"/>
    <col min="8" max="8" width="6.8515625" style="0" customWidth="1"/>
    <col min="9" max="9" width="11.7109375" style="0" bestFit="1" customWidth="1"/>
    <col min="12" max="12" width="11.28125" style="0" customWidth="1"/>
    <col min="13" max="13" width="10.140625" style="0" customWidth="1"/>
  </cols>
  <sheetData>
    <row r="1" spans="1:8" ht="33.75" customHeight="1" thickBot="1">
      <c r="A1" s="495" t="s">
        <v>681</v>
      </c>
      <c r="B1" s="496"/>
      <c r="C1" s="496"/>
      <c r="D1" s="496"/>
      <c r="E1" s="496"/>
      <c r="F1" s="496"/>
      <c r="G1" s="497"/>
      <c r="H1" s="19"/>
    </row>
    <row r="2" spans="1:7" ht="49.5" customHeight="1" thickTop="1">
      <c r="A2" s="259" t="s">
        <v>57</v>
      </c>
      <c r="B2" s="279" t="s">
        <v>201</v>
      </c>
      <c r="C2" s="280" t="s">
        <v>682</v>
      </c>
      <c r="D2" s="280" t="s">
        <v>712</v>
      </c>
      <c r="E2" s="280" t="s">
        <v>695</v>
      </c>
      <c r="F2" s="280" t="s">
        <v>109</v>
      </c>
      <c r="G2" s="281" t="s">
        <v>193</v>
      </c>
    </row>
    <row r="3" spans="1:7" ht="15.75" customHeight="1">
      <c r="A3" s="110">
        <v>1</v>
      </c>
      <c r="B3" s="111">
        <v>2</v>
      </c>
      <c r="C3" s="112">
        <v>3</v>
      </c>
      <c r="D3" s="112" t="s">
        <v>627</v>
      </c>
      <c r="E3" s="112">
        <v>5</v>
      </c>
      <c r="F3" s="112" t="s">
        <v>630</v>
      </c>
      <c r="G3" s="109">
        <v>7</v>
      </c>
    </row>
    <row r="4" spans="1:9" ht="16.5" customHeight="1">
      <c r="A4" s="261"/>
      <c r="B4" s="282" t="s">
        <v>326</v>
      </c>
      <c r="C4" s="48">
        <f>C5+C38+C43</f>
        <v>19760290.000000004</v>
      </c>
      <c r="D4" s="48">
        <f>D5+D38+D43</f>
        <v>1376373.77</v>
      </c>
      <c r="E4" s="48">
        <f>E5+E38+E43</f>
        <v>21136663.77</v>
      </c>
      <c r="F4" s="48">
        <f>E4/C4*100</f>
        <v>106.96535207732273</v>
      </c>
      <c r="G4" s="283">
        <f>E4/$E$56*100</f>
        <v>69.74500701684802</v>
      </c>
      <c r="H4" s="1"/>
      <c r="I4" s="1"/>
    </row>
    <row r="5" spans="1:9" ht="15.75" customHeight="1">
      <c r="A5" s="284">
        <v>410000</v>
      </c>
      <c r="B5" s="264" t="s">
        <v>332</v>
      </c>
      <c r="C5" s="55">
        <f>C6+C11+C21+C25+C27+C29+C32+C36</f>
        <v>19413847.770000003</v>
      </c>
      <c r="D5" s="55">
        <f>D6+D11+D21+D25+D27+D29+D32+D36</f>
        <v>1420625.47</v>
      </c>
      <c r="E5" s="55">
        <f>E6+E11+E21+E25+E27+E29+E32+E36</f>
        <v>20834473.24</v>
      </c>
      <c r="F5" s="55">
        <f aca="true" t="shared" si="0" ref="F5:F56">E5/C5*100</f>
        <v>107.31758838758007</v>
      </c>
      <c r="G5" s="185">
        <f aca="true" t="shared" si="1" ref="G5:G56">E5/$E$56*100</f>
        <v>68.7478638127635</v>
      </c>
      <c r="H5" s="1"/>
      <c r="I5" s="1"/>
    </row>
    <row r="6" spans="1:13" ht="15.75" customHeight="1">
      <c r="A6" s="285">
        <v>411000</v>
      </c>
      <c r="B6" s="286" t="s">
        <v>321</v>
      </c>
      <c r="C6" s="61">
        <f>SUM(C7:C10)</f>
        <v>9431030</v>
      </c>
      <c r="D6" s="61">
        <f>SUM(D7:D10)</f>
        <v>519230</v>
      </c>
      <c r="E6" s="61">
        <f>SUM(E7:E10)</f>
        <v>9950260</v>
      </c>
      <c r="F6" s="62">
        <f t="shared" si="0"/>
        <v>105.50554923481317</v>
      </c>
      <c r="G6" s="250">
        <f t="shared" si="1"/>
        <v>32.833041253390874</v>
      </c>
      <c r="H6" s="1"/>
      <c r="I6" s="1"/>
      <c r="J6" s="2"/>
      <c r="K6" s="2"/>
      <c r="L6" s="2"/>
      <c r="M6" s="2"/>
    </row>
    <row r="7" spans="1:13" ht="13.5" customHeight="1">
      <c r="A7" s="268">
        <v>411100</v>
      </c>
      <c r="B7" s="287" t="s">
        <v>317</v>
      </c>
      <c r="C7" s="94">
        <f>SUMIF(Org!$C$10:Org!$D$609,411100,Org!E$10:Org!E$610)</f>
        <v>7679700</v>
      </c>
      <c r="D7" s="94">
        <f>SUMIF(Org!$C$10:Org!$D$609,411100,Org!F$10:Org!F$610)</f>
        <v>540100</v>
      </c>
      <c r="E7" s="122">
        <f>SUMIF(Org!$C$10:Org!$D$609,411100,Org!G$10:Org!G$610)</f>
        <v>8219800</v>
      </c>
      <c r="F7" s="122">
        <f t="shared" si="0"/>
        <v>107.03282680313033</v>
      </c>
      <c r="G7" s="339">
        <f t="shared" si="1"/>
        <v>27.12301311670472</v>
      </c>
      <c r="H7" s="1"/>
      <c r="I7" s="1"/>
      <c r="J7" s="2"/>
      <c r="K7" s="2"/>
      <c r="L7" s="2"/>
      <c r="M7" s="2"/>
    </row>
    <row r="8" spans="1:13" ht="25.5">
      <c r="A8" s="268">
        <v>411200</v>
      </c>
      <c r="B8" s="288" t="s">
        <v>322</v>
      </c>
      <c r="C8" s="94">
        <f>SUMIF(Org!$C$8:Org!$D$609,411200,Org!E$8:Org!E$611)</f>
        <v>1370840</v>
      </c>
      <c r="D8" s="94">
        <f>SUMIF(Org!$C$8:Org!$D$609,411200,Org!F$8:Org!F$611)</f>
        <v>-12570</v>
      </c>
      <c r="E8" s="122">
        <f>SUMIF(Org!$C$8:Org!$D$609,411200,Org!G$8:Org!G$611)</f>
        <v>1358270</v>
      </c>
      <c r="F8" s="122">
        <f t="shared" si="0"/>
        <v>99.08304397303843</v>
      </c>
      <c r="G8" s="339">
        <f t="shared" si="1"/>
        <v>4.481906497241601</v>
      </c>
      <c r="H8" s="1"/>
      <c r="I8" s="1"/>
      <c r="J8" s="2"/>
      <c r="K8" s="2"/>
      <c r="L8" s="2"/>
      <c r="M8" s="2"/>
    </row>
    <row r="9" spans="1:13" ht="25.5">
      <c r="A9" s="268">
        <v>411300</v>
      </c>
      <c r="B9" s="288" t="s">
        <v>404</v>
      </c>
      <c r="C9" s="94">
        <f>SUMIF(Org!$C$10:Org!$D$609,411300,Org!E$10:Org!E$611)</f>
        <v>201900</v>
      </c>
      <c r="D9" s="94">
        <f>SUMIF(Org!$C$10:Org!$D$609,411300,Org!F$10:Org!F$611)</f>
        <v>-16500</v>
      </c>
      <c r="E9" s="122">
        <f>SUMIF(Org!$C$10:Org!$D$609,411300,Org!G$10:Org!G$611)</f>
        <v>185400</v>
      </c>
      <c r="F9" s="122">
        <f t="shared" si="0"/>
        <v>91.82763744427935</v>
      </c>
      <c r="G9" s="339">
        <f t="shared" si="1"/>
        <v>0.6117675164647625</v>
      </c>
      <c r="H9" s="1"/>
      <c r="I9" s="1"/>
      <c r="J9" s="2"/>
      <c r="K9" s="2"/>
      <c r="L9" s="2"/>
      <c r="M9" s="2"/>
    </row>
    <row r="10" spans="1:13" ht="14.25" customHeight="1">
      <c r="A10" s="268">
        <v>411400</v>
      </c>
      <c r="B10" s="287" t="s">
        <v>318</v>
      </c>
      <c r="C10" s="94">
        <f>SUMIF(Org!$C$10:Org!$D$609,411400,Org!E$10:Org!E$611)</f>
        <v>178590</v>
      </c>
      <c r="D10" s="94">
        <f>SUMIF(Org!$C$10:Org!$D$609,411400,Org!F$10:Org!F$611)</f>
        <v>8200</v>
      </c>
      <c r="E10" s="122">
        <f>SUMIF(Org!$C$10:Org!$D$609,411400,Org!G$10:Org!G$611)</f>
        <v>186790</v>
      </c>
      <c r="F10" s="122">
        <f t="shared" si="0"/>
        <v>104.5915224816619</v>
      </c>
      <c r="G10" s="339">
        <f t="shared" si="1"/>
        <v>0.6163541229797895</v>
      </c>
      <c r="H10" s="1"/>
      <c r="I10" s="1"/>
      <c r="J10" s="2"/>
      <c r="K10" s="2"/>
      <c r="L10" s="2"/>
      <c r="M10" s="2"/>
    </row>
    <row r="11" spans="1:13" ht="15.75" customHeight="1">
      <c r="A11" s="285">
        <v>412000</v>
      </c>
      <c r="B11" s="289" t="s">
        <v>119</v>
      </c>
      <c r="C11" s="61">
        <f>SUM(C12:C20)</f>
        <v>3588891.62</v>
      </c>
      <c r="D11" s="61">
        <f>SUM(D12:D20)</f>
        <v>657553.1699999999</v>
      </c>
      <c r="E11" s="61">
        <f>SUM(E12:E20)</f>
        <v>4246444.79</v>
      </c>
      <c r="F11" s="62">
        <f t="shared" si="0"/>
        <v>118.32190101076388</v>
      </c>
      <c r="G11" s="250">
        <f t="shared" si="1"/>
        <v>14.012065711882576</v>
      </c>
      <c r="H11" s="1"/>
      <c r="I11" s="1"/>
      <c r="J11" s="2"/>
      <c r="K11" s="2"/>
      <c r="L11" s="2"/>
      <c r="M11" s="2"/>
    </row>
    <row r="12" spans="1:13" ht="15" customHeight="1">
      <c r="A12" s="271">
        <v>412100</v>
      </c>
      <c r="B12" s="88" t="s">
        <v>120</v>
      </c>
      <c r="C12" s="94">
        <f>SUMIF(Org!$C$10:Org!$D$609,412100,Org!E$10:Org!E$610)</f>
        <v>48660</v>
      </c>
      <c r="D12" s="94">
        <f>SUMIF(Org!$C$10:Org!$D$609,412100,Org!F$10:Org!F$610)</f>
        <v>0</v>
      </c>
      <c r="E12" s="94">
        <f>SUMIF(Org!$C$10:Org!$D$609,412100,Org!G$10:Org!G$610)</f>
        <v>48660</v>
      </c>
      <c r="F12" s="122">
        <f t="shared" si="0"/>
        <v>100</v>
      </c>
      <c r="G12" s="339">
        <f t="shared" si="1"/>
        <v>0.1605642251951205</v>
      </c>
      <c r="I12" s="1"/>
      <c r="J12" s="392"/>
      <c r="K12" s="2"/>
      <c r="L12" s="2"/>
      <c r="M12" s="2"/>
    </row>
    <row r="13" spans="1:13" ht="25.5">
      <c r="A13" s="271">
        <v>412200</v>
      </c>
      <c r="B13" s="88" t="s">
        <v>121</v>
      </c>
      <c r="C13" s="94">
        <f>SUMIF(Org!$C$10:Org!$D$609,412200,Org!E$10:Org!E$610)</f>
        <v>852540</v>
      </c>
      <c r="D13" s="94">
        <f>SUMIF(Org!$C$10:Org!$D$609,412200,Org!F$10:Org!F$610)</f>
        <v>185537.5</v>
      </c>
      <c r="E13" s="94">
        <f>SUMIF(Org!$C$10:Org!$D$609,412200,Org!G$10:Org!G$610)</f>
        <v>1038077.5</v>
      </c>
      <c r="F13" s="122">
        <f t="shared" si="0"/>
        <v>121.76290848523237</v>
      </c>
      <c r="G13" s="339">
        <f t="shared" si="1"/>
        <v>3.425361888203611</v>
      </c>
      <c r="I13" s="1"/>
      <c r="J13" s="392"/>
      <c r="K13" s="2"/>
      <c r="L13" s="2"/>
      <c r="M13" s="2"/>
    </row>
    <row r="14" spans="1:13" ht="12.75">
      <c r="A14" s="271">
        <v>412300</v>
      </c>
      <c r="B14" s="132" t="s">
        <v>122</v>
      </c>
      <c r="C14" s="94">
        <f>SUMIF(Org!$C$10:Org!$D$609,412300,Org!E$10:Org!E$610)</f>
        <v>106450</v>
      </c>
      <c r="D14" s="94">
        <f>SUMIF(Org!$C$10:Org!$D$609,412300,Org!F$10:Org!F$610)</f>
        <v>7175</v>
      </c>
      <c r="E14" s="94">
        <f>SUMIF(Org!$C$10:Org!$D$609,412300,Org!G$10:Org!G$610)</f>
        <v>113625</v>
      </c>
      <c r="F14" s="122">
        <f t="shared" si="0"/>
        <v>106.74025364020667</v>
      </c>
      <c r="G14" s="339">
        <f t="shared" si="1"/>
        <v>0.37493033472658377</v>
      </c>
      <c r="I14" s="1"/>
      <c r="J14" s="392"/>
      <c r="K14" s="2"/>
      <c r="L14" s="2"/>
      <c r="M14" s="2"/>
    </row>
    <row r="15" spans="1:13" ht="14.25" customHeight="1">
      <c r="A15" s="271">
        <v>412400</v>
      </c>
      <c r="B15" s="132" t="s">
        <v>123</v>
      </c>
      <c r="C15" s="94">
        <f>SUMIF(Org!$C$10:Org!$D$609,412400,Org!E$10:Org!E$610)</f>
        <v>198860</v>
      </c>
      <c r="D15" s="94">
        <f>SUMIF(Org!$C$10:Org!$D$609,412400,Org!F$10:Org!F$610)</f>
        <v>109958</v>
      </c>
      <c r="E15" s="94">
        <f>SUMIF(Org!$C$10:Org!$D$609,412400,Org!G$10:Org!G$610)</f>
        <v>308818</v>
      </c>
      <c r="F15" s="122">
        <f t="shared" si="0"/>
        <v>155.2941768078045</v>
      </c>
      <c r="G15" s="339">
        <f t="shared" si="1"/>
        <v>1.0190119789623249</v>
      </c>
      <c r="I15" s="1"/>
      <c r="J15" s="392"/>
      <c r="K15" s="2"/>
      <c r="L15" s="393"/>
      <c r="M15" s="2"/>
    </row>
    <row r="16" spans="1:13" ht="13.5" customHeight="1">
      <c r="A16" s="271">
        <v>412500</v>
      </c>
      <c r="B16" s="132" t="s">
        <v>124</v>
      </c>
      <c r="C16" s="94">
        <f>SUMIF(Org!$C$10:Org!$D$609,412500,Org!E$10:Org!E$610)</f>
        <v>451150</v>
      </c>
      <c r="D16" s="94">
        <f>SUMIF(Org!$C$10:Org!$D$609,412500,Org!F$10:Org!F$610)</f>
        <v>82402</v>
      </c>
      <c r="E16" s="94">
        <f>SUMIF(Org!$C$10:Org!$D$609,412500,Org!G$10:Org!G$610)</f>
        <v>533552</v>
      </c>
      <c r="F16" s="122">
        <f t="shared" si="0"/>
        <v>118.26487864346669</v>
      </c>
      <c r="G16" s="339">
        <f t="shared" si="1"/>
        <v>1.7605705606516018</v>
      </c>
      <c r="I16" s="1"/>
      <c r="J16" s="392"/>
      <c r="K16" s="2"/>
      <c r="L16" s="2"/>
      <c r="M16" s="2"/>
    </row>
    <row r="17" spans="1:13" ht="12.75" customHeight="1">
      <c r="A17" s="271">
        <v>412600</v>
      </c>
      <c r="B17" s="132" t="s">
        <v>125</v>
      </c>
      <c r="C17" s="94">
        <f>SUMIF(Org!$C$10:Org!$D$609,412600,Org!E$10:Org!E$610)</f>
        <v>15400</v>
      </c>
      <c r="D17" s="94">
        <f>SUMIF(Org!$C$10:Org!$D$609,412600,Org!F$10:Org!F$610)</f>
        <v>-72</v>
      </c>
      <c r="E17" s="94">
        <f>SUMIF(Org!$C$10:Org!$D$609,412600,Org!G$10:Org!G$610)</f>
        <v>15328</v>
      </c>
      <c r="F17" s="122">
        <f t="shared" si="0"/>
        <v>99.53246753246752</v>
      </c>
      <c r="G17" s="339">
        <f t="shared" si="1"/>
        <v>0.050578060908154684</v>
      </c>
      <c r="I17" s="1"/>
      <c r="J17" s="392"/>
      <c r="K17" s="2"/>
      <c r="L17" s="2"/>
      <c r="M17" s="2"/>
    </row>
    <row r="18" spans="1:13" ht="12.75" customHeight="1">
      <c r="A18" s="271">
        <v>412700</v>
      </c>
      <c r="B18" s="88" t="s">
        <v>126</v>
      </c>
      <c r="C18" s="94">
        <f>SUMIF(Org!$C$10:Org!$D$609,412700,Org!E$10:Org!E$610)</f>
        <v>447032.11</v>
      </c>
      <c r="D18" s="94">
        <f>SUMIF(Org!$C$10:Org!$D$609,412700,Org!F$10:Org!F$610)</f>
        <v>7225</v>
      </c>
      <c r="E18" s="94">
        <f>SUMIF(Org!$C$10:Org!$D$609,412700,Org!G$10:Org!G$610)</f>
        <v>454257.11</v>
      </c>
      <c r="F18" s="122">
        <f t="shared" si="0"/>
        <v>101.61621499627846</v>
      </c>
      <c r="G18" s="339">
        <f t="shared" si="1"/>
        <v>1.4989198706642957</v>
      </c>
      <c r="I18" s="1"/>
      <c r="J18" s="392"/>
      <c r="K18" s="2"/>
      <c r="L18" s="2"/>
      <c r="M18" s="2"/>
    </row>
    <row r="19" spans="1:13" ht="13.5" customHeight="1">
      <c r="A19" s="267">
        <v>412800</v>
      </c>
      <c r="B19" s="93" t="s">
        <v>127</v>
      </c>
      <c r="C19" s="94">
        <f>SUMIF(Org!$C$10:Org!$D$609,412800,Org!E$10:Org!E$610)</f>
        <v>662845</v>
      </c>
      <c r="D19" s="94">
        <f>SUMIF(Org!$C$10:Org!$D$609,412800,Org!F$10:Org!F$610)</f>
        <v>5000</v>
      </c>
      <c r="E19" s="94">
        <f>SUMIF(Org!$C$10:Org!$D$609,412800,Org!G$10:Org!G$610)</f>
        <v>667845</v>
      </c>
      <c r="F19" s="122">
        <f t="shared" si="0"/>
        <v>100.75432416326593</v>
      </c>
      <c r="G19" s="339">
        <f t="shared" si="1"/>
        <v>2.203699444624646</v>
      </c>
      <c r="I19" s="1"/>
      <c r="J19" s="392"/>
      <c r="K19" s="2"/>
      <c r="L19" s="2"/>
      <c r="M19" s="2"/>
    </row>
    <row r="20" spans="1:13" ht="12.75" customHeight="1">
      <c r="A20" s="267">
        <v>412900</v>
      </c>
      <c r="B20" s="203" t="s">
        <v>323</v>
      </c>
      <c r="C20" s="94">
        <f>SUMIF(Org!$C$10:Org!$D$609,412900,Org!E$10:Org!E$610)</f>
        <v>805954.51</v>
      </c>
      <c r="D20" s="94">
        <f>SUMIF(Org!$C$10:Org!$D$609,412900,Org!F$10:Org!F$610)</f>
        <v>260327.66999999998</v>
      </c>
      <c r="E20" s="94">
        <f>SUMIF(Org!$C$10:Org!$D$609,412900,Org!G$10:Org!G$610)</f>
        <v>1066282.1800000002</v>
      </c>
      <c r="F20" s="122">
        <f t="shared" si="0"/>
        <v>132.30054137919026</v>
      </c>
      <c r="G20" s="339">
        <f t="shared" si="1"/>
        <v>3.5184293479462405</v>
      </c>
      <c r="I20" s="1"/>
      <c r="J20" s="392"/>
      <c r="K20" s="2"/>
      <c r="L20" s="2"/>
      <c r="M20" s="2"/>
    </row>
    <row r="21" spans="1:13" ht="15.75" customHeight="1">
      <c r="A21" s="285">
        <v>413000</v>
      </c>
      <c r="B21" s="290" t="s">
        <v>129</v>
      </c>
      <c r="C21" s="291">
        <f>SUM(C22:C24)</f>
        <v>220000</v>
      </c>
      <c r="D21" s="291">
        <f>SUM(D22:D24)</f>
        <v>0</v>
      </c>
      <c r="E21" s="291">
        <f>SUM(E22:E24)</f>
        <v>220000</v>
      </c>
      <c r="F21" s="62">
        <f t="shared" si="0"/>
        <v>100</v>
      </c>
      <c r="G21" s="250">
        <f t="shared" si="1"/>
        <v>0.7259377218028465</v>
      </c>
      <c r="H21" s="1"/>
      <c r="I21" s="1"/>
      <c r="J21" s="392"/>
      <c r="K21" s="2"/>
      <c r="L21" s="2"/>
      <c r="M21" s="2"/>
    </row>
    <row r="22" spans="1:13" ht="12.75">
      <c r="A22" s="268">
        <v>413300</v>
      </c>
      <c r="B22" s="88" t="s">
        <v>130</v>
      </c>
      <c r="C22" s="269">
        <f>SUMIF(Org!$C$10:Org!$D$609,413300,Org!E$10:Org!E$610)</f>
        <v>150000</v>
      </c>
      <c r="D22" s="269">
        <f>SUMIF(Org!$C$10:Org!$D$609,413300,Org!F$10:Org!F$610)</f>
        <v>0</v>
      </c>
      <c r="E22" s="269">
        <f>SUMIF(Org!$C$10:Org!$D$609,413300,Org!G$10:Org!G$610)</f>
        <v>150000</v>
      </c>
      <c r="F22" s="122">
        <f t="shared" si="0"/>
        <v>100</v>
      </c>
      <c r="G22" s="339">
        <f t="shared" si="1"/>
        <v>0.4949575375928499</v>
      </c>
      <c r="I22" s="1"/>
      <c r="J22" s="392"/>
      <c r="K22" s="2"/>
      <c r="L22" s="2"/>
      <c r="M22" s="2"/>
    </row>
    <row r="23" spans="1:13" ht="18" customHeight="1" hidden="1">
      <c r="A23" s="268">
        <v>413400</v>
      </c>
      <c r="B23" s="88" t="s">
        <v>131</v>
      </c>
      <c r="C23" s="269">
        <f>SUMIF(Org!$C$10:Org!$D$609,413400,Org!E$10:Org!E$610)</f>
        <v>0</v>
      </c>
      <c r="D23" s="269"/>
      <c r="E23" s="269"/>
      <c r="F23" s="122" t="e">
        <f t="shared" si="0"/>
        <v>#DIV/0!</v>
      </c>
      <c r="G23" s="339">
        <f t="shared" si="1"/>
        <v>0</v>
      </c>
      <c r="I23" s="1"/>
      <c r="J23" s="392"/>
      <c r="K23" s="2"/>
      <c r="L23" s="2"/>
      <c r="M23" s="2"/>
    </row>
    <row r="24" spans="1:13" ht="19.5" customHeight="1">
      <c r="A24" s="268">
        <v>413700</v>
      </c>
      <c r="B24" s="88" t="s">
        <v>132</v>
      </c>
      <c r="C24" s="269">
        <f>SUMIF(Org!$C$10:Org!$D$609,413700,Org!E$10:Org!E$610)</f>
        <v>70000</v>
      </c>
      <c r="D24" s="269">
        <f>SUMIF(Org!$C$10:Org!$D$609,413700,Org!F$10:Org!F$610)</f>
        <v>0</v>
      </c>
      <c r="E24" s="269">
        <f>SUMIF(Org!$C$10:Org!$D$609,413700,Org!G$10:Org!G$610)</f>
        <v>70000</v>
      </c>
      <c r="F24" s="122">
        <f t="shared" si="0"/>
        <v>100</v>
      </c>
      <c r="G24" s="339">
        <f t="shared" si="1"/>
        <v>0.23098018420999664</v>
      </c>
      <c r="I24" s="1"/>
      <c r="J24" s="392"/>
      <c r="K24" s="2"/>
      <c r="L24" s="2"/>
      <c r="M24" s="2"/>
    </row>
    <row r="25" spans="1:13" ht="13.5" customHeight="1">
      <c r="A25" s="285">
        <v>414000</v>
      </c>
      <c r="B25" s="286" t="s">
        <v>174</v>
      </c>
      <c r="C25" s="61">
        <f>SUM(C26)</f>
        <v>550000</v>
      </c>
      <c r="D25" s="61">
        <f>SUM(D26)</f>
        <v>-9795</v>
      </c>
      <c r="E25" s="61">
        <f>SUM(E26)</f>
        <v>540205</v>
      </c>
      <c r="F25" s="62">
        <f t="shared" si="0"/>
        <v>98.21909090909091</v>
      </c>
      <c r="G25" s="250">
        <f t="shared" si="1"/>
        <v>1.7825235773023034</v>
      </c>
      <c r="H25" s="1"/>
      <c r="I25" s="1"/>
      <c r="J25" s="392"/>
      <c r="K25" s="2"/>
      <c r="L25" s="2"/>
      <c r="M25" s="2"/>
    </row>
    <row r="26" spans="1:13" ht="15" customHeight="1">
      <c r="A26" s="268">
        <v>414100</v>
      </c>
      <c r="B26" s="88" t="s">
        <v>174</v>
      </c>
      <c r="C26" s="269">
        <f>SUMIF(Org!$C$10:Org!$D$609,414100,Org!E$10:Org!E$610)</f>
        <v>550000</v>
      </c>
      <c r="D26" s="269">
        <f>SUMIF(Org!$C$10:Org!$D$609,414100,Org!F$10:Org!F$610)</f>
        <v>-9795</v>
      </c>
      <c r="E26" s="269">
        <f>SUMIF(Org!$C$10:Org!$D$609,414100,Org!G$10:Org!G$610)</f>
        <v>540205</v>
      </c>
      <c r="F26" s="122">
        <f t="shared" si="0"/>
        <v>98.21909090909091</v>
      </c>
      <c r="G26" s="339">
        <f t="shared" si="1"/>
        <v>1.7825235773023034</v>
      </c>
      <c r="I26" s="1"/>
      <c r="J26" s="392"/>
      <c r="K26" s="2"/>
      <c r="L26" s="2"/>
      <c r="M26" s="2"/>
    </row>
    <row r="27" spans="1:13" ht="14.25" customHeight="1">
      <c r="A27" s="285">
        <v>415000</v>
      </c>
      <c r="B27" s="289" t="s">
        <v>133</v>
      </c>
      <c r="C27" s="61">
        <f>SUM(C28)</f>
        <v>1425936.15</v>
      </c>
      <c r="D27" s="61">
        <f>SUM(D28)</f>
        <v>86687.3</v>
      </c>
      <c r="E27" s="61">
        <f>SUM(E28)</f>
        <v>1512623.45</v>
      </c>
      <c r="F27" s="62">
        <f t="shared" si="0"/>
        <v>106.07932550135573</v>
      </c>
      <c r="G27" s="250">
        <f t="shared" si="1"/>
        <v>4.991229187448009</v>
      </c>
      <c r="I27" s="1"/>
      <c r="J27" s="392"/>
      <c r="K27" s="2"/>
      <c r="L27" s="2"/>
      <c r="M27" s="2"/>
    </row>
    <row r="28" spans="1:13" ht="15" customHeight="1">
      <c r="A28" s="267">
        <v>415200</v>
      </c>
      <c r="B28" s="203" t="s">
        <v>134</v>
      </c>
      <c r="C28" s="94">
        <f>SUMIF(Org!$C$10:Org!$D$609,415200,Org!E$10:Org!E$610)</f>
        <v>1425936.15</v>
      </c>
      <c r="D28" s="94">
        <f>SUMIF(Org!$C$10:Org!$D$609,415200,Org!F$10:Org!F$610)</f>
        <v>86687.3</v>
      </c>
      <c r="E28" s="94">
        <f>SUMIF(Org!$C$10:Org!$D$609,415200,Org!G$10:Org!G$610)</f>
        <v>1512623.45</v>
      </c>
      <c r="F28" s="122">
        <f t="shared" si="0"/>
        <v>106.07932550135573</v>
      </c>
      <c r="G28" s="339">
        <f t="shared" si="1"/>
        <v>4.991229187448009</v>
      </c>
      <c r="H28" s="1"/>
      <c r="I28" s="1"/>
      <c r="J28" s="392"/>
      <c r="K28" s="2"/>
      <c r="L28" s="2"/>
      <c r="M28" s="2"/>
    </row>
    <row r="29" spans="1:13" ht="15" customHeight="1">
      <c r="A29" s="285">
        <v>416000</v>
      </c>
      <c r="B29" s="290" t="s">
        <v>603</v>
      </c>
      <c r="C29" s="61">
        <f>SUM(C30:C31)</f>
        <v>3993790</v>
      </c>
      <c r="D29" s="61">
        <f>SUM(D30:D31)</f>
        <v>167950</v>
      </c>
      <c r="E29" s="61">
        <f>SUM(E30:E31)</f>
        <v>4161740</v>
      </c>
      <c r="F29" s="62">
        <f t="shared" si="0"/>
        <v>104.20527869517426</v>
      </c>
      <c r="G29" s="250">
        <f t="shared" si="1"/>
        <v>13.732563883344447</v>
      </c>
      <c r="H29" s="1"/>
      <c r="I29" s="1"/>
      <c r="J29" s="394"/>
      <c r="K29" s="2"/>
      <c r="L29" s="2"/>
      <c r="M29" s="2"/>
    </row>
    <row r="30" spans="1:13" ht="25.5">
      <c r="A30" s="268">
        <v>416100</v>
      </c>
      <c r="B30" s="88" t="s">
        <v>135</v>
      </c>
      <c r="C30" s="94">
        <f>SUMIF(Org!$C$10:Org!$D$609,416100,Org!E$10:Org!E$610)</f>
        <v>3552790</v>
      </c>
      <c r="D30" s="94">
        <f>SUMIF(Org!$C$10:Org!$D$609,416100,Org!F$10:Org!F$610)</f>
        <v>146950</v>
      </c>
      <c r="E30" s="94">
        <f>SUMIF(Org!$C$10:Org!$D$609,416100,Org!G$10:Org!G$610)</f>
        <v>3699740</v>
      </c>
      <c r="F30" s="122">
        <f t="shared" si="0"/>
        <v>104.13618592711644</v>
      </c>
      <c r="G30" s="339">
        <f t="shared" si="1"/>
        <v>12.20809466755847</v>
      </c>
      <c r="I30" s="1"/>
      <c r="J30" s="393"/>
      <c r="K30" s="2"/>
      <c r="L30" s="2"/>
      <c r="M30" s="2"/>
    </row>
    <row r="31" spans="1:13" ht="25.5">
      <c r="A31" s="268">
        <v>416300</v>
      </c>
      <c r="B31" s="88" t="s">
        <v>136</v>
      </c>
      <c r="C31" s="94">
        <f>SUMIF(Org!$C$10:Org!$D$609,416300,Org!E$10:Org!E$610)</f>
        <v>441000</v>
      </c>
      <c r="D31" s="94">
        <f>SUMIF(Org!$C$10:Org!$D$609,416300,Org!F$10:Org!F$610)</f>
        <v>21000</v>
      </c>
      <c r="E31" s="94">
        <f>SUMIF(Org!$C$10:Org!$D$609,416300,Org!G$10:Org!G$610)</f>
        <v>462000</v>
      </c>
      <c r="F31" s="122">
        <f t="shared" si="0"/>
        <v>104.76190476190477</v>
      </c>
      <c r="G31" s="339">
        <f t="shared" si="1"/>
        <v>1.5244692157859778</v>
      </c>
      <c r="I31" s="1"/>
      <c r="J31" s="2"/>
      <c r="K31" s="2"/>
      <c r="L31" s="2"/>
      <c r="M31" s="2"/>
    </row>
    <row r="32" spans="1:13" ht="27" customHeight="1">
      <c r="A32" s="285">
        <v>418000</v>
      </c>
      <c r="B32" s="286" t="s">
        <v>406</v>
      </c>
      <c r="C32" s="61">
        <f>SUM(C33:C35)</f>
        <v>77600</v>
      </c>
      <c r="D32" s="61">
        <f>SUM(D33:D35)</f>
        <v>2000</v>
      </c>
      <c r="E32" s="61">
        <f>SUM(E33:E35)</f>
        <v>79600</v>
      </c>
      <c r="F32" s="62">
        <f t="shared" si="0"/>
        <v>102.57731958762886</v>
      </c>
      <c r="G32" s="250">
        <f t="shared" si="1"/>
        <v>0.26265746661593903</v>
      </c>
      <c r="I32" s="1"/>
      <c r="J32" s="2"/>
      <c r="K32" s="2"/>
      <c r="L32" s="2"/>
      <c r="M32" s="2"/>
    </row>
    <row r="33" spans="1:13" ht="24" customHeight="1">
      <c r="A33" s="268">
        <v>418100</v>
      </c>
      <c r="B33" s="88" t="s">
        <v>389</v>
      </c>
      <c r="C33" s="94">
        <f>SUMIF(Org!$C$10:Org!$D$609,418100,Org!E$10:Org!E$610)</f>
        <v>3500</v>
      </c>
      <c r="D33" s="94">
        <f>SUMIF(Org!$C$10:Org!$D$609,418100,Org!F$10:Org!F$610)</f>
        <v>0</v>
      </c>
      <c r="E33" s="94">
        <f>SUMIF(Org!$C$10:Org!$D$609,418100,Org!G$10:Org!G$610)</f>
        <v>3500</v>
      </c>
      <c r="F33" s="122">
        <f t="shared" si="0"/>
        <v>100</v>
      </c>
      <c r="G33" s="339">
        <f t="shared" si="1"/>
        <v>0.011549009210499832</v>
      </c>
      <c r="I33" s="1"/>
      <c r="J33" s="2"/>
      <c r="K33" s="2"/>
      <c r="L33" s="2"/>
      <c r="M33" s="2"/>
    </row>
    <row r="34" spans="1:13" ht="12.75">
      <c r="A34" s="268">
        <v>418200</v>
      </c>
      <c r="B34" s="88" t="s">
        <v>407</v>
      </c>
      <c r="C34" s="94">
        <f>SUMIF(Org!$C$10:Org!$D$609,418200,Org!E$10:Org!E$610)</f>
        <v>33000</v>
      </c>
      <c r="D34" s="94">
        <f>SUMIF(Org!$C$10:Org!$D$609,418200,Org!F$10:Org!F$610)</f>
        <v>0</v>
      </c>
      <c r="E34" s="94">
        <f>SUMIF(Org!$C$10:Org!$D$609,418200,Org!G$10:Org!G$610)</f>
        <v>33000</v>
      </c>
      <c r="F34" s="122">
        <f t="shared" si="0"/>
        <v>100</v>
      </c>
      <c r="G34" s="339">
        <f t="shared" si="1"/>
        <v>0.10889065827042697</v>
      </c>
      <c r="I34" s="1"/>
      <c r="J34" s="2"/>
      <c r="K34" s="2"/>
      <c r="L34" s="2"/>
      <c r="M34" s="2"/>
    </row>
    <row r="35" spans="1:13" ht="12.75">
      <c r="A35" s="364">
        <v>418400</v>
      </c>
      <c r="B35" s="88" t="s">
        <v>559</v>
      </c>
      <c r="C35" s="94">
        <f>SUMIF(Org!$C$10:Org!$D$609,418400,Org!E$10:Org!E$610)</f>
        <v>41100</v>
      </c>
      <c r="D35" s="94">
        <f>SUMIF(Org!$C$10:Org!$D$609,418400,Org!F$10:Org!F$610)</f>
        <v>2000</v>
      </c>
      <c r="E35" s="94">
        <f>SUMIF(Org!$C$10:Org!$D$609,418400,Org!G$10:Org!G$610)</f>
        <v>43100</v>
      </c>
      <c r="F35" s="122">
        <f t="shared" si="0"/>
        <v>104.86618004866179</v>
      </c>
      <c r="G35" s="339">
        <f t="shared" si="1"/>
        <v>0.14221779913501223</v>
      </c>
      <c r="I35" s="1"/>
      <c r="J35" s="2"/>
      <c r="K35" s="2"/>
      <c r="L35" s="2"/>
      <c r="M35" s="2"/>
    </row>
    <row r="36" spans="1:13" ht="16.5" customHeight="1">
      <c r="A36" s="285">
        <v>419000</v>
      </c>
      <c r="B36" s="286" t="s">
        <v>305</v>
      </c>
      <c r="C36" s="61">
        <f>SUM(C37)</f>
        <v>126600</v>
      </c>
      <c r="D36" s="61">
        <f>SUM(D37)</f>
        <v>-3000</v>
      </c>
      <c r="E36" s="61">
        <f>SUM(E37)</f>
        <v>123600</v>
      </c>
      <c r="F36" s="62">
        <f t="shared" si="0"/>
        <v>97.6303317535545</v>
      </c>
      <c r="G36" s="250">
        <f t="shared" si="1"/>
        <v>0.4078450109765083</v>
      </c>
      <c r="I36" s="1"/>
      <c r="J36" s="2"/>
      <c r="K36" s="2"/>
      <c r="L36" s="2"/>
      <c r="M36" s="2"/>
    </row>
    <row r="37" spans="1:13" ht="12.75">
      <c r="A37" s="268">
        <v>419100</v>
      </c>
      <c r="B37" s="88" t="s">
        <v>305</v>
      </c>
      <c r="C37" s="94">
        <f>SUMIF(Org!$C$10:Org!$D$609,419100,Org!E$10:Org!E$610)</f>
        <v>126600</v>
      </c>
      <c r="D37" s="94">
        <f>SUMIF(Org!$C$10:Org!$D$609,419100,Org!F$10:Org!F$610)</f>
        <v>-3000</v>
      </c>
      <c r="E37" s="94">
        <f>SUMIF(Org!$C$10:Org!$D$609,419100,Org!G$10:Org!G$610)</f>
        <v>123600</v>
      </c>
      <c r="F37" s="122">
        <f t="shared" si="0"/>
        <v>97.6303317535545</v>
      </c>
      <c r="G37" s="339">
        <f t="shared" si="1"/>
        <v>0.4078450109765083</v>
      </c>
      <c r="H37" s="1"/>
      <c r="I37" s="1"/>
      <c r="J37" s="2"/>
      <c r="K37" s="2"/>
      <c r="L37" s="2"/>
      <c r="M37" s="2"/>
    </row>
    <row r="38" spans="1:13" ht="17.25" customHeight="1">
      <c r="A38" s="284">
        <v>480000</v>
      </c>
      <c r="B38" s="264" t="s">
        <v>325</v>
      </c>
      <c r="C38" s="55">
        <f>SUM(C39:C42)</f>
        <v>266500</v>
      </c>
      <c r="D38" s="55">
        <f>SUM(D39:D42)</f>
        <v>5690.53</v>
      </c>
      <c r="E38" s="55">
        <f>SUM(E39:E42)</f>
        <v>272190.53</v>
      </c>
      <c r="F38" s="55">
        <f t="shared" si="0"/>
        <v>102.13528330206381</v>
      </c>
      <c r="G38" s="185">
        <f t="shared" si="1"/>
        <v>0.8981516965659517</v>
      </c>
      <c r="H38" s="1"/>
      <c r="I38" s="1"/>
      <c r="J38" s="2"/>
      <c r="K38" s="2"/>
      <c r="L38" s="2"/>
      <c r="M38" s="2"/>
    </row>
    <row r="39" spans="1:13" ht="12.75">
      <c r="A39" s="292">
        <v>487200</v>
      </c>
      <c r="B39" s="166" t="s">
        <v>350</v>
      </c>
      <c r="C39" s="94">
        <f>SUMIF(Org!$C$10:Org!$D$609,487200,Org!E$10:Org!E$610)</f>
        <v>6000</v>
      </c>
      <c r="D39" s="94">
        <f>SUMIF(Org!$C$10:Org!$D$609,487200,Org!F$10:Org!F$610)</f>
        <v>0</v>
      </c>
      <c r="E39" s="94">
        <f>SUMIF(Org!$C$10:Org!$D$609,487200,Org!G$10:Org!G$610)</f>
        <v>6000</v>
      </c>
      <c r="F39" s="122">
        <f t="shared" si="0"/>
        <v>100</v>
      </c>
      <c r="G39" s="339">
        <f t="shared" si="1"/>
        <v>0.019798301503713995</v>
      </c>
      <c r="I39" s="1"/>
      <c r="J39" s="2"/>
      <c r="K39" s="2"/>
      <c r="L39" s="2"/>
      <c r="M39" s="2"/>
    </row>
    <row r="40" spans="1:13" ht="12.75">
      <c r="A40" s="292">
        <v>487300</v>
      </c>
      <c r="B40" s="166" t="s">
        <v>347</v>
      </c>
      <c r="C40" s="94">
        <f>SUMIF(Org!$C$10:Org!$D$609,487300,Org!E$10:Org!E$610)</f>
        <v>1000</v>
      </c>
      <c r="D40" s="94">
        <f>SUMIF(Org!$C$10:Org!$D$609,487300,Org!F$10:Org!F$610)</f>
        <v>5000</v>
      </c>
      <c r="E40" s="94">
        <f>SUMIF(Org!$C$10:Org!$D$609,487300,Org!G$10:Org!G$610)</f>
        <v>6000</v>
      </c>
      <c r="F40" s="122">
        <f t="shared" si="0"/>
        <v>600</v>
      </c>
      <c r="G40" s="339">
        <f t="shared" si="1"/>
        <v>0.019798301503713995</v>
      </c>
      <c r="I40" s="1"/>
      <c r="J40" s="2"/>
      <c r="K40" s="2"/>
      <c r="L40" s="2"/>
      <c r="M40" s="2"/>
    </row>
    <row r="41" spans="1:13" ht="12.75">
      <c r="A41" s="268">
        <v>487400</v>
      </c>
      <c r="B41" s="88" t="s">
        <v>324</v>
      </c>
      <c r="C41" s="94">
        <f>SUMIF(Org!$C$10:Org!$D$609,487400,Org!E$10:Org!E$610)</f>
        <v>203000</v>
      </c>
      <c r="D41" s="94">
        <f>SUMIF(Org!$C$10:Org!$D$609,487400,Org!F$10:Org!F$610)</f>
        <v>0</v>
      </c>
      <c r="E41" s="94">
        <f>SUMIF(Org!$C$10:Org!$D$609,487400,Org!G$10:Org!G$610)</f>
        <v>203000</v>
      </c>
      <c r="F41" s="122">
        <f t="shared" si="0"/>
        <v>100</v>
      </c>
      <c r="G41" s="339">
        <f t="shared" si="1"/>
        <v>0.6698425342089902</v>
      </c>
      <c r="I41" s="1"/>
      <c r="J41" s="2"/>
      <c r="K41" s="2"/>
      <c r="L41" s="2"/>
      <c r="M41" s="2"/>
    </row>
    <row r="42" spans="1:13" ht="12.75">
      <c r="A42" s="268">
        <v>487900</v>
      </c>
      <c r="B42" s="88" t="s">
        <v>336</v>
      </c>
      <c r="C42" s="94">
        <f>SUMIF(Org!$C$10:Org!$D$609,487900,Org!E$10:Org!E$610)</f>
        <v>56500</v>
      </c>
      <c r="D42" s="94">
        <f>SUMIF(Org!$C$10:Org!$D$609,487900,Org!F$10:Org!F$610)</f>
        <v>690.5299999999997</v>
      </c>
      <c r="E42" s="94">
        <f>SUMIF(Org!$C$10:Org!$D$609,487900,Org!G$10:Org!G$610)</f>
        <v>57190.53</v>
      </c>
      <c r="F42" s="122">
        <f t="shared" si="0"/>
        <v>101.22217699115043</v>
      </c>
      <c r="G42" s="339">
        <f t="shared" si="1"/>
        <v>0.1887125593495334</v>
      </c>
      <c r="I42" s="1"/>
      <c r="J42" s="2"/>
      <c r="K42" s="2"/>
      <c r="L42" s="2"/>
      <c r="M42" s="2"/>
    </row>
    <row r="43" spans="1:13" ht="19.5" customHeight="1">
      <c r="A43" s="284" t="s">
        <v>189</v>
      </c>
      <c r="B43" s="293" t="s">
        <v>307</v>
      </c>
      <c r="C43" s="55">
        <f>Org!E610</f>
        <v>79942.23</v>
      </c>
      <c r="D43" s="55">
        <f>Org!F610</f>
        <v>-49942.229999999996</v>
      </c>
      <c r="E43" s="55">
        <f>Org!G610</f>
        <v>30000</v>
      </c>
      <c r="F43" s="55">
        <f t="shared" si="0"/>
        <v>37.52709925655064</v>
      </c>
      <c r="G43" s="185">
        <f t="shared" si="1"/>
        <v>0.09899150751856997</v>
      </c>
      <c r="H43" s="1"/>
      <c r="I43" s="1"/>
      <c r="J43" s="2"/>
      <c r="K43" s="2"/>
      <c r="L43" s="2"/>
      <c r="M43" s="2"/>
    </row>
    <row r="44" spans="1:13" ht="15.75" customHeight="1">
      <c r="A44" s="294">
        <v>510000</v>
      </c>
      <c r="B44" s="99" t="s">
        <v>333</v>
      </c>
      <c r="C44" s="48">
        <f>C45+C51+C54</f>
        <v>8994320</v>
      </c>
      <c r="D44" s="48">
        <f>D45+D51+D54</f>
        <v>174646.22999999998</v>
      </c>
      <c r="E44" s="48">
        <f>E45+E51+E54</f>
        <v>9168966.23</v>
      </c>
      <c r="F44" s="48">
        <f t="shared" si="0"/>
        <v>101.94173911980005</v>
      </c>
      <c r="G44" s="283">
        <f t="shared" si="1"/>
        <v>30.25499298315198</v>
      </c>
      <c r="H44" s="1"/>
      <c r="I44" s="1"/>
      <c r="J44" s="2"/>
      <c r="K44" s="2"/>
      <c r="L44" s="2"/>
      <c r="M44" s="2"/>
    </row>
    <row r="45" spans="1:13" ht="15.75" customHeight="1">
      <c r="A45" s="285">
        <v>511000</v>
      </c>
      <c r="B45" s="289" t="s">
        <v>137</v>
      </c>
      <c r="C45" s="61">
        <f>SUM(C46:C50)</f>
        <v>8772903</v>
      </c>
      <c r="D45" s="61">
        <f>SUM(D46:D50)</f>
        <v>168980.71</v>
      </c>
      <c r="E45" s="61">
        <f>SUM(E46:E50)</f>
        <v>8941883.71</v>
      </c>
      <c r="F45" s="62">
        <f t="shared" si="0"/>
        <v>101.92616640124712</v>
      </c>
      <c r="G45" s="250">
        <f t="shared" si="1"/>
        <v>29.50568495028812</v>
      </c>
      <c r="I45" s="1"/>
      <c r="J45" s="2"/>
      <c r="K45" s="2"/>
      <c r="L45" s="2"/>
      <c r="M45" s="2"/>
    </row>
    <row r="46" spans="1:13" ht="12.75" customHeight="1">
      <c r="A46" s="267">
        <v>511100</v>
      </c>
      <c r="B46" s="125" t="s">
        <v>138</v>
      </c>
      <c r="C46" s="269">
        <f>SUMIF(Org!$C$10:Org!$D$609,511100,Org!E$10:Org!E$609)</f>
        <v>0</v>
      </c>
      <c r="D46" s="269">
        <f>SUMIF(Org!$C$10:Org!$D$609,511100,Org!F$10:Org!F$609)</f>
        <v>0</v>
      </c>
      <c r="E46" s="269">
        <f>SUMIF(Org!$C$10:Org!$D$609,511100,Org!G$10:Org!G$609)</f>
        <v>0</v>
      </c>
      <c r="F46" s="122" t="e">
        <f t="shared" si="0"/>
        <v>#DIV/0!</v>
      </c>
      <c r="G46" s="339">
        <f t="shared" si="1"/>
        <v>0</v>
      </c>
      <c r="H46" s="1"/>
      <c r="I46" s="1"/>
      <c r="J46" s="2"/>
      <c r="K46" s="2"/>
      <c r="L46" s="2"/>
      <c r="M46" s="2"/>
    </row>
    <row r="47" spans="1:13" ht="27" customHeight="1">
      <c r="A47" s="268">
        <v>511200</v>
      </c>
      <c r="B47" s="88" t="s">
        <v>139</v>
      </c>
      <c r="C47" s="269">
        <f>SUMIF(Org!$C$10:Org!$D$609,511200,Org!E$10:Org!E$609)</f>
        <v>8111300</v>
      </c>
      <c r="D47" s="269">
        <f>SUMIF(Org!$C$10:Org!$D$609,511200,Org!F$10:Org!F$609)</f>
        <v>408216.23</v>
      </c>
      <c r="E47" s="269">
        <f>SUMIF(Org!$C$10:Org!$D$609,511200,Org!G$10:Org!G$609)</f>
        <v>8519516.23</v>
      </c>
      <c r="F47" s="122">
        <f t="shared" si="0"/>
        <v>105.03268563608795</v>
      </c>
      <c r="G47" s="339">
        <f t="shared" si="1"/>
        <v>28.111991831220802</v>
      </c>
      <c r="I47" s="1"/>
      <c r="J47" s="2"/>
      <c r="K47" s="2"/>
      <c r="L47" s="2"/>
      <c r="M47" s="2"/>
    </row>
    <row r="48" spans="1:13" ht="12.75" customHeight="1">
      <c r="A48" s="268">
        <v>511300</v>
      </c>
      <c r="B48" s="132" t="s">
        <v>140</v>
      </c>
      <c r="C48" s="269">
        <f>SUMIF(Org!$C$10:Org!$D$609,511300,Org!E$10:Org!E$609)</f>
        <v>651603</v>
      </c>
      <c r="D48" s="269">
        <f>SUMIF(Org!$C$10:Org!$D$609,511300,Org!F$10:Org!F$609)</f>
        <v>-232735.52</v>
      </c>
      <c r="E48" s="269">
        <f>SUMIF(Org!$C$10:Org!$D$609,511300,Org!G$10:Org!G$609)</f>
        <v>418867.48</v>
      </c>
      <c r="F48" s="122">
        <f t="shared" si="0"/>
        <v>64.28261993882778</v>
      </c>
      <c r="G48" s="339">
        <f t="shared" si="1"/>
        <v>1.3821441098568155</v>
      </c>
      <c r="I48" s="1"/>
      <c r="J48" s="2"/>
      <c r="K48" s="2"/>
      <c r="L48" s="2"/>
      <c r="M48" s="2"/>
    </row>
    <row r="49" spans="1:13" ht="12.75" customHeight="1">
      <c r="A49" s="268">
        <v>511400</v>
      </c>
      <c r="B49" s="132" t="s">
        <v>227</v>
      </c>
      <c r="C49" s="269">
        <f>SUMIF(Org!$C$10:Org!$D$609,511400,Org!E$10:Org!E$609)</f>
        <v>10000</v>
      </c>
      <c r="D49" s="269">
        <f>SUMIF(Org!$C$10:Org!$D$609,511400,Org!F$10:Org!F$609)</f>
        <v>-6500</v>
      </c>
      <c r="E49" s="269">
        <f>SUMIF(Org!$C$10:Org!$D$609,511400,Org!G$10:Org!G$609)</f>
        <v>3500</v>
      </c>
      <c r="F49" s="122">
        <f t="shared" si="0"/>
        <v>35</v>
      </c>
      <c r="G49" s="339">
        <f t="shared" si="1"/>
        <v>0.011549009210499832</v>
      </c>
      <c r="I49" s="1"/>
      <c r="J49" s="2"/>
      <c r="K49" s="2"/>
      <c r="L49" s="2"/>
      <c r="M49" s="2"/>
    </row>
    <row r="50" spans="1:13" ht="12.75" customHeight="1">
      <c r="A50" s="268">
        <v>511700</v>
      </c>
      <c r="B50" s="132" t="s">
        <v>523</v>
      </c>
      <c r="C50" s="269">
        <f>SUMIF(Org!$C$10:Org!$D$609,511700,Org!E$10:Org!E$609)</f>
        <v>0</v>
      </c>
      <c r="D50" s="269">
        <f>SUMIF(Org!$C$10:Org!$D$609,511700,Org!F$10:Org!F$609)</f>
        <v>0</v>
      </c>
      <c r="E50" s="269">
        <f>SUMIF(Org!$C$10:Org!$D$609,511700,Org!G$10:Org!G$609)</f>
        <v>0</v>
      </c>
      <c r="F50" s="122" t="e">
        <f t="shared" si="0"/>
        <v>#DIV/0!</v>
      </c>
      <c r="G50" s="339">
        <f t="shared" si="1"/>
        <v>0</v>
      </c>
      <c r="I50" s="1"/>
      <c r="J50" s="2"/>
      <c r="K50" s="2"/>
      <c r="L50" s="2"/>
      <c r="M50" s="2"/>
    </row>
    <row r="51" spans="1:13" ht="15.75" customHeight="1">
      <c r="A51" s="295">
        <v>513000</v>
      </c>
      <c r="B51" s="289" t="s">
        <v>164</v>
      </c>
      <c r="C51" s="61">
        <f>SUM(C52:C53)</f>
        <v>150000</v>
      </c>
      <c r="D51" s="61">
        <f>SUM(D52:D53)</f>
        <v>0</v>
      </c>
      <c r="E51" s="61">
        <f>SUM(E52:E53)</f>
        <v>150000</v>
      </c>
      <c r="F51" s="62">
        <f t="shared" si="0"/>
        <v>100</v>
      </c>
      <c r="G51" s="250">
        <f t="shared" si="1"/>
        <v>0.4949575375928499</v>
      </c>
      <c r="H51" s="1"/>
      <c r="I51" s="1"/>
      <c r="J51" s="2"/>
      <c r="K51" s="2"/>
      <c r="L51" s="2"/>
      <c r="M51" s="2"/>
    </row>
    <row r="52" spans="1:13" ht="12.75" customHeight="1">
      <c r="A52" s="268">
        <v>513100</v>
      </c>
      <c r="B52" s="132" t="s">
        <v>165</v>
      </c>
      <c r="C52" s="269">
        <f>SUMIF(Org!$C$10:Org!$D$609,513100,Org!E$10:Org!E$609)</f>
        <v>150000</v>
      </c>
      <c r="D52" s="269">
        <f>SUMIF(Org!$C$10:Org!$D$609,513100,Org!F$10:Org!F$609)</f>
        <v>0</v>
      </c>
      <c r="E52" s="269">
        <f>SUMIF(Org!$C$10:Org!$D$609,513100,Org!G$10:Org!G$609)</f>
        <v>150000</v>
      </c>
      <c r="F52" s="122">
        <f t="shared" si="0"/>
        <v>100</v>
      </c>
      <c r="G52" s="339">
        <f t="shared" si="1"/>
        <v>0.4949575375928499</v>
      </c>
      <c r="I52" s="1"/>
      <c r="J52" s="2"/>
      <c r="K52" s="2"/>
      <c r="L52" s="2"/>
      <c r="M52" s="2"/>
    </row>
    <row r="53" spans="1:13" ht="12.75" customHeight="1" hidden="1">
      <c r="A53" s="268">
        <v>513700</v>
      </c>
      <c r="B53" s="132" t="s">
        <v>524</v>
      </c>
      <c r="C53" s="269">
        <f>SUMIF(Org!$C$10:Org!$D$609,513700,Org!E$10:Org!E$609)</f>
        <v>0</v>
      </c>
      <c r="D53" s="269"/>
      <c r="E53" s="269"/>
      <c r="F53" s="48" t="e">
        <f t="shared" si="0"/>
        <v>#DIV/0!</v>
      </c>
      <c r="G53" s="283">
        <f t="shared" si="1"/>
        <v>0</v>
      </c>
      <c r="I53" s="1"/>
      <c r="J53" s="2"/>
      <c r="K53" s="2"/>
      <c r="L53" s="2"/>
      <c r="M53" s="2"/>
    </row>
    <row r="54" spans="1:13" ht="18.75" customHeight="1">
      <c r="A54" s="295">
        <v>516000</v>
      </c>
      <c r="B54" s="286" t="s">
        <v>292</v>
      </c>
      <c r="C54" s="61">
        <f>SUM(C55)</f>
        <v>71417</v>
      </c>
      <c r="D54" s="61">
        <f>SUM(D55)</f>
        <v>5665.519999999997</v>
      </c>
      <c r="E54" s="61">
        <f>SUM(E55)</f>
        <v>77082.51999999999</v>
      </c>
      <c r="F54" s="62">
        <f t="shared" si="0"/>
        <v>107.93301314812997</v>
      </c>
      <c r="G54" s="250">
        <f t="shared" si="1"/>
        <v>0.25435049527101067</v>
      </c>
      <c r="H54" s="1"/>
      <c r="I54" s="1"/>
      <c r="J54" s="2"/>
      <c r="K54" s="2"/>
      <c r="L54" s="2"/>
      <c r="M54" s="2"/>
    </row>
    <row r="55" spans="1:13" ht="18" customHeight="1">
      <c r="A55" s="268">
        <v>516100</v>
      </c>
      <c r="B55" s="88" t="s">
        <v>292</v>
      </c>
      <c r="C55" s="269">
        <f>SUMIF(Org!$C$10:Org!$D$609,516100,Org!E$10:Org!E$609)</f>
        <v>71417</v>
      </c>
      <c r="D55" s="269">
        <f>SUMIF(Org!$C$10:Org!$D$609,516100,Org!F$10:Org!F$609)</f>
        <v>5665.519999999997</v>
      </c>
      <c r="E55" s="269">
        <f>SUMIF(Org!$C$10:Org!$D$609,516100,Org!G$10:Org!G$609)</f>
        <v>77082.51999999999</v>
      </c>
      <c r="F55" s="122">
        <f t="shared" si="0"/>
        <v>107.93301314812997</v>
      </c>
      <c r="G55" s="339">
        <f t="shared" si="1"/>
        <v>0.25435049527101067</v>
      </c>
      <c r="I55" s="1"/>
      <c r="J55" s="2"/>
      <c r="K55" s="2"/>
      <c r="L55" s="2"/>
      <c r="M55" s="2"/>
    </row>
    <row r="56" spans="1:13" ht="25.5" customHeight="1" thickBot="1">
      <c r="A56" s="296"/>
      <c r="B56" s="102" t="s">
        <v>261</v>
      </c>
      <c r="C56" s="104">
        <f>C4+C44</f>
        <v>28754610.000000004</v>
      </c>
      <c r="D56" s="104">
        <f>D4+D44</f>
        <v>1551020</v>
      </c>
      <c r="E56" s="104">
        <f>E4+E44</f>
        <v>30305630</v>
      </c>
      <c r="F56" s="104">
        <f t="shared" si="0"/>
        <v>105.39398725978198</v>
      </c>
      <c r="G56" s="297">
        <f t="shared" si="1"/>
        <v>100</v>
      </c>
      <c r="H56" s="1"/>
      <c r="I56" s="1"/>
      <c r="J56" s="2"/>
      <c r="K56" s="2"/>
      <c r="L56" s="2"/>
      <c r="M56" s="2"/>
    </row>
    <row r="57" spans="1:13" ht="30.75" customHeight="1" thickTop="1">
      <c r="A57" s="15"/>
      <c r="B57" s="40"/>
      <c r="C57" s="39"/>
      <c r="D57" s="39"/>
      <c r="E57" s="39"/>
      <c r="F57" s="39"/>
      <c r="G57" s="41"/>
      <c r="H57" s="1"/>
      <c r="I57" s="1"/>
      <c r="J57" s="2"/>
      <c r="K57" s="2"/>
      <c r="L57" s="2"/>
      <c r="M57" s="2"/>
    </row>
    <row r="58" spans="1:13" ht="31.5" customHeight="1">
      <c r="A58" s="11"/>
      <c r="B58" s="457"/>
      <c r="C58" s="401"/>
      <c r="D58" s="401"/>
      <c r="E58" s="401"/>
      <c r="F58" s="12"/>
      <c r="G58" s="400"/>
      <c r="I58" s="1"/>
      <c r="J58" s="2"/>
      <c r="K58" s="2"/>
      <c r="L58" s="2"/>
      <c r="M58" s="2"/>
    </row>
    <row r="59" spans="1:13" ht="0.75" customHeight="1" hidden="1">
      <c r="A59" s="11"/>
      <c r="B59" s="426" t="s">
        <v>706</v>
      </c>
      <c r="C59" s="12">
        <f>Finansiranje!C16+Finansiranje!C17+Finansiranje!C19</f>
        <v>1105000</v>
      </c>
      <c r="D59" s="12">
        <f>Finansiranje!D16+Finansiranje!D17+Finansiranje!D19</f>
        <v>0</v>
      </c>
      <c r="E59" s="12">
        <f>Finansiranje!E16+Finansiranje!E17+Finansiranje!E19</f>
        <v>1105000</v>
      </c>
      <c r="F59" s="12"/>
      <c r="G59" s="400"/>
      <c r="H59" s="1"/>
      <c r="I59" s="1"/>
      <c r="J59" s="392"/>
      <c r="K59" s="2"/>
      <c r="L59" s="2"/>
      <c r="M59" s="2"/>
    </row>
    <row r="60" spans="1:13" ht="12.75" hidden="1">
      <c r="A60" s="11"/>
      <c r="B60" s="426" t="s">
        <v>707</v>
      </c>
      <c r="C60" s="12">
        <f>Finansiranje!C30+Finansiranje!C31+Finansiranje!C32+Finansiranje!C33+Finansiranje!C35+Finansiranje!C36</f>
        <v>600390</v>
      </c>
      <c r="D60" s="12">
        <f>Finansiranje!D30+Finansiranje!D31+Finansiranje!D32+Finansiranje!D33+Finansiranje!D35+Finansiranje!D36</f>
        <v>8980</v>
      </c>
      <c r="E60" s="12">
        <f>Finansiranje!E30+Finansiranje!E31+Finansiranje!E32+Finansiranje!E33+Finansiranje!E35+Finansiranje!E36</f>
        <v>609370</v>
      </c>
      <c r="F60" s="12"/>
      <c r="G60" s="400"/>
      <c r="H60" s="1"/>
      <c r="I60" s="1"/>
      <c r="J60" s="392"/>
      <c r="K60" s="2"/>
      <c r="L60" s="2"/>
      <c r="M60" s="2"/>
    </row>
    <row r="61" spans="1:13" ht="12.75" hidden="1">
      <c r="A61" s="11"/>
      <c r="B61" s="427" t="s">
        <v>708</v>
      </c>
      <c r="C61" s="458">
        <f>C59+C60</f>
        <v>1705390</v>
      </c>
      <c r="D61" s="458">
        <f>D59+D60</f>
        <v>8980</v>
      </c>
      <c r="E61" s="458">
        <f>E59+E60</f>
        <v>1714370</v>
      </c>
      <c r="F61" s="12"/>
      <c r="G61" s="400"/>
      <c r="H61" s="1"/>
      <c r="I61" s="1"/>
      <c r="J61" s="392"/>
      <c r="K61" s="2"/>
      <c r="L61" s="2"/>
      <c r="M61" s="2"/>
    </row>
    <row r="62" spans="2:13" ht="12.75" hidden="1">
      <c r="B62" s="427"/>
      <c r="C62" s="395"/>
      <c r="D62" s="395"/>
      <c r="E62" s="395"/>
      <c r="F62" s="12"/>
      <c r="G62" s="400"/>
      <c r="H62" s="1"/>
      <c r="I62" s="1"/>
      <c r="J62" s="2"/>
      <c r="K62" s="2"/>
      <c r="L62" s="2"/>
      <c r="M62" s="2"/>
    </row>
    <row r="63" spans="2:13" ht="12.75" hidden="1">
      <c r="B63" s="427" t="s">
        <v>709</v>
      </c>
      <c r="C63" s="395">
        <f>C56+C61</f>
        <v>30460000.000000004</v>
      </c>
      <c r="D63" s="395">
        <f>D56+D61</f>
        <v>1560000</v>
      </c>
      <c r="E63" s="395">
        <f>E56+E61</f>
        <v>32020000</v>
      </c>
      <c r="F63" s="12"/>
      <c r="G63" s="400"/>
      <c r="H63" s="1"/>
      <c r="I63" s="1"/>
      <c r="J63" s="2"/>
      <c r="K63" s="2"/>
      <c r="L63" s="2"/>
      <c r="M63" s="2"/>
    </row>
    <row r="64" spans="2:13" ht="21.75" customHeight="1" hidden="1">
      <c r="B64" s="427"/>
      <c r="C64" s="395"/>
      <c r="D64" s="395"/>
      <c r="E64" s="395"/>
      <c r="F64" s="30"/>
      <c r="G64" s="400"/>
      <c r="I64" s="1"/>
      <c r="J64" s="2"/>
      <c r="K64" s="2"/>
      <c r="L64" s="2"/>
      <c r="M64" s="2"/>
    </row>
    <row r="65" spans="2:13" ht="17.25" customHeight="1" hidden="1">
      <c r="B65" s="427" t="s">
        <v>717</v>
      </c>
      <c r="C65" s="392">
        <f>'B.pr. i prim. za nef. im.'!D124</f>
        <v>30460000</v>
      </c>
      <c r="D65" s="392">
        <f>'B.pr. i prim. za nef. im.'!E124</f>
        <v>1559999.9999999995</v>
      </c>
      <c r="E65" s="392">
        <f>'B.pr. i prim. za nef. im.'!F124</f>
        <v>32020000</v>
      </c>
      <c r="I65" s="2"/>
      <c r="J65" s="2"/>
      <c r="K65" s="2"/>
      <c r="L65" s="2"/>
      <c r="M65" s="2"/>
    </row>
    <row r="66" spans="2:13" ht="34.5" customHeight="1" hidden="1">
      <c r="B66" s="427" t="s">
        <v>703</v>
      </c>
      <c r="C66" s="392">
        <f>C65-C63</f>
        <v>0</v>
      </c>
      <c r="D66" s="392">
        <f>D65-D63</f>
        <v>0</v>
      </c>
      <c r="E66" s="392">
        <f>E65-E63</f>
        <v>0</v>
      </c>
      <c r="F66" s="1"/>
      <c r="I66" s="2"/>
      <c r="J66" s="2"/>
      <c r="K66" s="2"/>
      <c r="L66" s="2"/>
      <c r="M66" s="2"/>
    </row>
    <row r="67" spans="2:13" ht="34.5" customHeight="1">
      <c r="B67" s="396"/>
      <c r="C67" s="395"/>
      <c r="D67" s="395"/>
      <c r="E67" s="395"/>
      <c r="I67" s="2"/>
      <c r="J67" s="2"/>
      <c r="K67" s="2"/>
      <c r="L67" s="2"/>
      <c r="M67" s="2"/>
    </row>
    <row r="68" spans="2:13" ht="12.75" customHeight="1">
      <c r="B68" s="396"/>
      <c r="C68" s="395"/>
      <c r="D68" s="395"/>
      <c r="E68" s="395"/>
      <c r="I68" s="2"/>
      <c r="J68" s="2"/>
      <c r="K68" s="2"/>
      <c r="L68" s="2"/>
      <c r="M68" s="2"/>
    </row>
    <row r="69" spans="2:13" ht="12.75" customHeight="1">
      <c r="B69" s="2"/>
      <c r="C69" s="392"/>
      <c r="D69" s="392"/>
      <c r="E69" s="392"/>
      <c r="I69" s="2"/>
      <c r="J69" s="2"/>
      <c r="K69" s="2"/>
      <c r="L69" s="2"/>
      <c r="M69" s="2"/>
    </row>
    <row r="70" ht="8.25" customHeight="1"/>
    <row r="71" spans="2:5" ht="12.75" customHeight="1" hidden="1">
      <c r="B71" s="379" t="s">
        <v>597</v>
      </c>
      <c r="C71" s="1">
        <f>C7+C8+C9+C10+C12+C13+C14+C15+C16+C17+C18+C19+C20+C22+C24+C26+C28+C30+C31+C33+C34+C35+C37+C39+C40+C41+C42+C43+C46+C47+C48+C49+C50+C52+C53+C55</f>
        <v>28754610</v>
      </c>
      <c r="D71" s="1"/>
      <c r="E71" s="1"/>
    </row>
    <row r="72" spans="2:5" ht="12.75" customHeight="1" hidden="1">
      <c r="B72" s="379" t="s">
        <v>598</v>
      </c>
      <c r="C72" s="1">
        <f>Finansiranje!C10+Finansiranje!C16+Finansiranje!C17+Finansiranje!C19+Finansiranje!C30+Finansiranje!C31+Finansiranje!C32+Finansiranje!C35+Finansiranje!C36</f>
        <v>1502390</v>
      </c>
      <c r="D72" s="1"/>
      <c r="E72" s="1"/>
    </row>
    <row r="73" spans="3:5" ht="12.75" customHeight="1" hidden="1">
      <c r="C73" s="1">
        <f>SUM(C71:C72)</f>
        <v>30257000</v>
      </c>
      <c r="D73" s="1"/>
      <c r="E73" s="1"/>
    </row>
  </sheetData>
  <sheetProtection/>
  <mergeCells count="1">
    <mergeCell ref="A1:G1"/>
  </mergeCells>
  <printOptions horizontalCentered="1"/>
  <pageMargins left="0.15748031496062992" right="0.15748031496062992" top="0.5118110236220472" bottom="0.4330708661417323" header="0.3937007874015748" footer="0.1968503937007874"/>
  <pageSetup horizontalDpi="600" verticalDpi="600" orientation="landscape" paperSize="9" r:id="rId1"/>
  <headerFooter alignWithMargins="0">
    <oddFooter>&amp;R&amp;P</oddFooter>
  </headerFooter>
  <rowBreaks count="2" manualBreakCount="2">
    <brk id="30" max="6" man="1"/>
    <brk id="5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9"/>
  <sheetViews>
    <sheetView zoomScale="106" zoomScaleNormal="106" zoomScalePageLayoutView="0" workbookViewId="0" topLeftCell="A1">
      <pane xSplit="2" ySplit="4" topLeftCell="C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12.8515625" style="0" customWidth="1"/>
    <col min="2" max="2" width="69.57421875" style="0" customWidth="1"/>
    <col min="3" max="3" width="18.421875" style="0" customWidth="1"/>
    <col min="4" max="4" width="19.00390625" style="0" customWidth="1"/>
    <col min="5" max="5" width="18.7109375" style="0" customWidth="1"/>
    <col min="7" max="7" width="12.421875" style="0" customWidth="1"/>
  </cols>
  <sheetData>
    <row r="1" spans="1:3" ht="39.75" customHeight="1" thickBot="1">
      <c r="A1" s="500" t="s">
        <v>683</v>
      </c>
      <c r="B1" s="500"/>
      <c r="C1" s="500"/>
    </row>
    <row r="2" spans="1:5" ht="18.75" customHeight="1" thickTop="1">
      <c r="A2" s="476" t="s">
        <v>57</v>
      </c>
      <c r="B2" s="478" t="s">
        <v>201</v>
      </c>
      <c r="C2" s="478" t="s">
        <v>682</v>
      </c>
      <c r="D2" s="478" t="s">
        <v>713</v>
      </c>
      <c r="E2" s="498" t="s">
        <v>684</v>
      </c>
    </row>
    <row r="3" spans="1:5" ht="44.25" customHeight="1">
      <c r="A3" s="477"/>
      <c r="B3" s="479"/>
      <c r="C3" s="479"/>
      <c r="D3" s="479"/>
      <c r="E3" s="499"/>
    </row>
    <row r="4" spans="1:5" s="5" customFormat="1" ht="12.75" customHeight="1">
      <c r="A4" s="110">
        <v>1</v>
      </c>
      <c r="B4" s="107">
        <v>2</v>
      </c>
      <c r="C4" s="467">
        <v>3</v>
      </c>
      <c r="D4" s="412" t="s">
        <v>627</v>
      </c>
      <c r="E4" s="413">
        <v>5</v>
      </c>
    </row>
    <row r="5" spans="1:5" ht="12.75">
      <c r="A5" s="261"/>
      <c r="B5" s="262"/>
      <c r="C5" s="262"/>
      <c r="D5" s="411"/>
      <c r="E5" s="414"/>
    </row>
    <row r="6" spans="1:5" ht="21" customHeight="1">
      <c r="A6" s="263"/>
      <c r="B6" s="264" t="s">
        <v>257</v>
      </c>
      <c r="C6" s="55">
        <f>C7-C9</f>
        <v>0</v>
      </c>
      <c r="D6" s="55">
        <f>D7-D9</f>
        <v>0</v>
      </c>
      <c r="E6" s="168">
        <f>E7-E9</f>
        <v>0</v>
      </c>
    </row>
    <row r="7" spans="1:5" ht="16.5" customHeight="1">
      <c r="A7" s="265">
        <v>910000</v>
      </c>
      <c r="B7" s="266" t="s">
        <v>251</v>
      </c>
      <c r="C7" s="62">
        <f>SUM(C8)</f>
        <v>0</v>
      </c>
      <c r="D7" s="62">
        <f>SUM(D8)</f>
        <v>0</v>
      </c>
      <c r="E7" s="64">
        <f>SUM(E8)</f>
        <v>0</v>
      </c>
    </row>
    <row r="8" spans="1:5" ht="18" customHeight="1">
      <c r="A8" s="292">
        <v>911400</v>
      </c>
      <c r="B8" s="166" t="s">
        <v>564</v>
      </c>
      <c r="C8" s="68">
        <v>0</v>
      </c>
      <c r="D8" s="68">
        <f>E8-C8</f>
        <v>0</v>
      </c>
      <c r="E8" s="70">
        <v>0</v>
      </c>
    </row>
    <row r="9" spans="1:5" ht="18" customHeight="1">
      <c r="A9" s="265">
        <v>610000</v>
      </c>
      <c r="B9" s="266" t="s">
        <v>253</v>
      </c>
      <c r="C9" s="62">
        <f>SUM(C10)</f>
        <v>0</v>
      </c>
      <c r="D9" s="62">
        <f>SUM(D10)</f>
        <v>0</v>
      </c>
      <c r="E9" s="64">
        <f>SUM(E10)</f>
        <v>0</v>
      </c>
    </row>
    <row r="10" spans="1:5" ht="17.25" customHeight="1">
      <c r="A10" s="267">
        <v>611000</v>
      </c>
      <c r="B10" s="166" t="s">
        <v>254</v>
      </c>
      <c r="C10" s="68">
        <f>Org!E459</f>
        <v>0</v>
      </c>
      <c r="D10" s="68">
        <f>Org!F459</f>
        <v>0</v>
      </c>
      <c r="E10" s="70">
        <f>Org!G459</f>
        <v>0</v>
      </c>
    </row>
    <row r="11" spans="1:5" ht="15.75" customHeight="1">
      <c r="A11" s="267"/>
      <c r="B11" s="264" t="s">
        <v>274</v>
      </c>
      <c r="C11" s="55">
        <f>C12-C14</f>
        <v>3895000</v>
      </c>
      <c r="D11" s="55">
        <f>D12-D14</f>
        <v>-1300000</v>
      </c>
      <c r="E11" s="168">
        <f>E12-E14</f>
        <v>2595000</v>
      </c>
    </row>
    <row r="12" spans="1:5" ht="18" customHeight="1">
      <c r="A12" s="265">
        <v>920000</v>
      </c>
      <c r="B12" s="266" t="s">
        <v>258</v>
      </c>
      <c r="C12" s="62">
        <f>C13</f>
        <v>5000000</v>
      </c>
      <c r="D12" s="62">
        <f>D13</f>
        <v>-1300000</v>
      </c>
      <c r="E12" s="64">
        <f>E13</f>
        <v>3700000</v>
      </c>
    </row>
    <row r="13" spans="1:5" ht="17.25" customHeight="1">
      <c r="A13" s="292">
        <v>921200</v>
      </c>
      <c r="B13" s="75" t="s">
        <v>289</v>
      </c>
      <c r="C13" s="68">
        <v>5000000</v>
      </c>
      <c r="D13" s="68">
        <f>E13-C13</f>
        <v>-1300000</v>
      </c>
      <c r="E13" s="70">
        <v>3700000</v>
      </c>
    </row>
    <row r="14" spans="1:5" ht="17.25" customHeight="1">
      <c r="A14" s="265">
        <v>620000</v>
      </c>
      <c r="B14" s="266" t="s">
        <v>256</v>
      </c>
      <c r="C14" s="62">
        <f>C15+C18</f>
        <v>1105000</v>
      </c>
      <c r="D14" s="62">
        <f>D15+D18</f>
        <v>0</v>
      </c>
      <c r="E14" s="64">
        <f>E15+E18</f>
        <v>1105000</v>
      </c>
    </row>
    <row r="15" spans="1:5" ht="17.25" customHeight="1">
      <c r="A15" s="265">
        <v>621000</v>
      </c>
      <c r="B15" s="86" t="s">
        <v>141</v>
      </c>
      <c r="C15" s="80">
        <f>SUM(C16:C17)</f>
        <v>925000</v>
      </c>
      <c r="D15" s="80">
        <f>SUM(D16:D17)</f>
        <v>0</v>
      </c>
      <c r="E15" s="446">
        <f>SUM(E16:E17)</f>
        <v>925000</v>
      </c>
    </row>
    <row r="16" spans="1:5" ht="16.5" customHeight="1">
      <c r="A16" s="364">
        <v>621300</v>
      </c>
      <c r="B16" s="88" t="s">
        <v>149</v>
      </c>
      <c r="C16" s="269">
        <f>SUMIF(Org!$C$10:$D$603,621300,Org!E$10:E$603)</f>
        <v>900000</v>
      </c>
      <c r="D16" s="269">
        <f>SUMIF(Org!$C$10:$D$603,621300,Org!F$10:F$603)</f>
        <v>0</v>
      </c>
      <c r="E16" s="270">
        <f>SUMIF(Org!$C$10:$D$603,621300,Org!G$10:G$603)</f>
        <v>900000</v>
      </c>
    </row>
    <row r="17" spans="1:5" ht="15.75" customHeight="1">
      <c r="A17" s="268">
        <v>621900</v>
      </c>
      <c r="B17" s="88" t="s">
        <v>291</v>
      </c>
      <c r="C17" s="269">
        <f>SUMIF(Org!$C$10:$D$603,621900,Org!E$10:E$603)</f>
        <v>25000</v>
      </c>
      <c r="D17" s="269">
        <f>SUMIF(Org!$C$10:$D$603,621900,Org!F$10:F$603)</f>
        <v>0</v>
      </c>
      <c r="E17" s="270">
        <f>SUMIF(Org!$C$10:$D$603,621900,Org!G$10:G$603)</f>
        <v>25000</v>
      </c>
    </row>
    <row r="18" spans="1:5" ht="15.75" customHeight="1">
      <c r="A18" s="265">
        <v>628000</v>
      </c>
      <c r="B18" s="143" t="s">
        <v>390</v>
      </c>
      <c r="C18" s="83">
        <f>SUM(C19)</f>
        <v>180000</v>
      </c>
      <c r="D18" s="83">
        <f>SUM(D19)</f>
        <v>0</v>
      </c>
      <c r="E18" s="447">
        <f>SUM(E19)</f>
        <v>180000</v>
      </c>
    </row>
    <row r="19" spans="1:5" ht="15.75" customHeight="1">
      <c r="A19" s="268">
        <v>628100</v>
      </c>
      <c r="B19" s="88" t="s">
        <v>393</v>
      </c>
      <c r="C19" s="269">
        <f>SUMIF(Org!$C$10:$D$603,628100,Org!E$10:E$603)</f>
        <v>180000</v>
      </c>
      <c r="D19" s="269">
        <f>SUMIF(Org!$C$10:$D$603,628100,Org!F$10:F$603)</f>
        <v>0</v>
      </c>
      <c r="E19" s="270">
        <f>SUMIF(Org!$C$10:$D$603,628100,Org!G$10:G$603)</f>
        <v>180000</v>
      </c>
    </row>
    <row r="20" spans="1:5" ht="20.25" customHeight="1">
      <c r="A20" s="268"/>
      <c r="B20" s="264" t="s">
        <v>327</v>
      </c>
      <c r="C20" s="55">
        <f>C21-C28</f>
        <v>-160479.66999999998</v>
      </c>
      <c r="D20" s="55">
        <f>D21-D28</f>
        <v>-105610.33</v>
      </c>
      <c r="E20" s="168">
        <f>E21-E28</f>
        <v>-266090</v>
      </c>
    </row>
    <row r="21" spans="1:5" ht="15.75" customHeight="1">
      <c r="A21" s="265">
        <v>930000</v>
      </c>
      <c r="B21" s="266" t="s">
        <v>328</v>
      </c>
      <c r="C21" s="62">
        <f>C22+C25</f>
        <v>439910.33</v>
      </c>
      <c r="D21" s="62">
        <f>D22+D25</f>
        <v>-96630.33</v>
      </c>
      <c r="E21" s="64">
        <f>E22+E25</f>
        <v>343280</v>
      </c>
    </row>
    <row r="22" spans="1:5" ht="17.25" customHeight="1">
      <c r="A22" s="265">
        <v>931000</v>
      </c>
      <c r="B22" s="86" t="s">
        <v>312</v>
      </c>
      <c r="C22" s="80">
        <f>SUM(C23:C24)</f>
        <v>110610.33</v>
      </c>
      <c r="D22" s="80">
        <f>SUM(D23:D24)</f>
        <v>0</v>
      </c>
      <c r="E22" s="446">
        <f>SUM(E23:E24)</f>
        <v>110610.33</v>
      </c>
    </row>
    <row r="23" spans="1:5" ht="16.5" customHeight="1">
      <c r="A23" s="292">
        <v>931100</v>
      </c>
      <c r="B23" s="166" t="s">
        <v>565</v>
      </c>
      <c r="C23" s="68">
        <v>28400</v>
      </c>
      <c r="D23" s="68">
        <f>E23-C23</f>
        <v>0</v>
      </c>
      <c r="E23" s="70">
        <v>28400</v>
      </c>
    </row>
    <row r="24" spans="1:5" ht="22.5" customHeight="1">
      <c r="A24" s="292">
        <v>931900</v>
      </c>
      <c r="B24" s="166" t="s">
        <v>663</v>
      </c>
      <c r="C24" s="68">
        <v>82210.33</v>
      </c>
      <c r="D24" s="68">
        <f>E24-C24</f>
        <v>0</v>
      </c>
      <c r="E24" s="70">
        <v>82210.33</v>
      </c>
    </row>
    <row r="25" spans="1:5" ht="20.25" customHeight="1">
      <c r="A25" s="265">
        <v>938000</v>
      </c>
      <c r="B25" s="272" t="s">
        <v>356</v>
      </c>
      <c r="C25" s="81">
        <f>SUM(C26:C27)</f>
        <v>329300</v>
      </c>
      <c r="D25" s="81">
        <f>SUM(D26:D27)</f>
        <v>-96630.33</v>
      </c>
      <c r="E25" s="82">
        <f>SUM(E26:E27)</f>
        <v>232669.66999999998</v>
      </c>
    </row>
    <row r="26" spans="1:7" ht="25.5">
      <c r="A26" s="268">
        <v>938100</v>
      </c>
      <c r="B26" s="75" t="s">
        <v>357</v>
      </c>
      <c r="C26" s="94">
        <v>270000</v>
      </c>
      <c r="D26" s="94">
        <f>E26-C26</f>
        <v>-96630</v>
      </c>
      <c r="E26" s="95">
        <v>173370</v>
      </c>
      <c r="G26" s="1"/>
    </row>
    <row r="27" spans="1:5" ht="25.5">
      <c r="A27" s="364">
        <v>938100</v>
      </c>
      <c r="B27" s="75" t="s">
        <v>566</v>
      </c>
      <c r="C27" s="94">
        <v>59300</v>
      </c>
      <c r="D27" s="94">
        <f>E27-C27</f>
        <v>-0.33000000000174623</v>
      </c>
      <c r="E27" s="95">
        <v>59299.67</v>
      </c>
    </row>
    <row r="28" spans="1:5" ht="15.75" customHeight="1">
      <c r="A28" s="265">
        <v>630000</v>
      </c>
      <c r="B28" s="266" t="s">
        <v>329</v>
      </c>
      <c r="C28" s="62">
        <f>C29+C34</f>
        <v>600390</v>
      </c>
      <c r="D28" s="62">
        <f>D29+D34</f>
        <v>8980</v>
      </c>
      <c r="E28" s="64">
        <f>E29+E34</f>
        <v>609370</v>
      </c>
    </row>
    <row r="29" spans="1:5" ht="15.75" customHeight="1">
      <c r="A29" s="265">
        <v>631000</v>
      </c>
      <c r="B29" s="272" t="s">
        <v>314</v>
      </c>
      <c r="C29" s="81">
        <f>SUM(C30:C33)</f>
        <v>340500</v>
      </c>
      <c r="D29" s="81">
        <f>SUM(D30:D33)</f>
        <v>-5320</v>
      </c>
      <c r="E29" s="82">
        <f>SUM(E30:E33)</f>
        <v>335180</v>
      </c>
    </row>
    <row r="30" spans="1:5" ht="15.75" customHeight="1">
      <c r="A30" s="381">
        <v>631100</v>
      </c>
      <c r="B30" s="351" t="s">
        <v>567</v>
      </c>
      <c r="C30" s="122">
        <f>Org!E467</f>
        <v>35000</v>
      </c>
      <c r="D30" s="122">
        <f>Org!F467</f>
        <v>0</v>
      </c>
      <c r="E30" s="334">
        <f>Org!G467</f>
        <v>35000</v>
      </c>
    </row>
    <row r="31" spans="1:5" ht="15.75" customHeight="1">
      <c r="A31" s="271">
        <v>631300</v>
      </c>
      <c r="B31" s="166" t="s">
        <v>420</v>
      </c>
      <c r="C31" s="68">
        <f>Org!E601+Org!E602</f>
        <v>89400</v>
      </c>
      <c r="D31" s="68">
        <f>Org!F601+Org!F602</f>
        <v>-5320</v>
      </c>
      <c r="E31" s="70">
        <f>Org!G601+Org!G602</f>
        <v>84080</v>
      </c>
    </row>
    <row r="32" spans="1:5" ht="28.5" customHeight="1">
      <c r="A32" s="268">
        <v>631900</v>
      </c>
      <c r="B32" s="75" t="s">
        <v>360</v>
      </c>
      <c r="C32" s="94">
        <f>Org!E603</f>
        <v>13100</v>
      </c>
      <c r="D32" s="94">
        <f>Org!F603</f>
        <v>0</v>
      </c>
      <c r="E32" s="95">
        <f>Org!G603</f>
        <v>13100</v>
      </c>
    </row>
    <row r="33" spans="1:5" ht="20.25" customHeight="1">
      <c r="A33" s="268">
        <v>631900</v>
      </c>
      <c r="B33" s="75" t="s">
        <v>649</v>
      </c>
      <c r="C33" s="94">
        <f>Org!E468</f>
        <v>203000</v>
      </c>
      <c r="D33" s="94">
        <f>Org!F468</f>
        <v>0</v>
      </c>
      <c r="E33" s="95">
        <f>Org!G468</f>
        <v>203000</v>
      </c>
    </row>
    <row r="34" spans="1:5" ht="15.75" customHeight="1">
      <c r="A34" s="265">
        <v>638000</v>
      </c>
      <c r="B34" s="86" t="s">
        <v>351</v>
      </c>
      <c r="C34" s="80">
        <f>SUM(C35:C36)</f>
        <v>259890</v>
      </c>
      <c r="D34" s="80">
        <f>SUM(D35:D36)</f>
        <v>14300</v>
      </c>
      <c r="E34" s="446">
        <f>SUM(E35:E36)</f>
        <v>274190</v>
      </c>
    </row>
    <row r="35" spans="1:7" ht="25.5">
      <c r="A35" s="268">
        <v>638100</v>
      </c>
      <c r="B35" s="75" t="s">
        <v>320</v>
      </c>
      <c r="C35" s="94">
        <f>SUMIF(Org!$C$10:$D$603,638100,Org!E$10:E$603)</f>
        <v>252500</v>
      </c>
      <c r="D35" s="94">
        <f>SUMIF(Org!$C$10:$D$603,638100,Org!F$10:F$603)</f>
        <v>14300</v>
      </c>
      <c r="E35" s="95">
        <f>SUMIF(Org!$C$10:$D$603,638100,Org!G$10:G$603)</f>
        <v>266800</v>
      </c>
      <c r="G35" s="1"/>
    </row>
    <row r="36" spans="1:5" ht="25.5">
      <c r="A36" s="268">
        <v>638100</v>
      </c>
      <c r="B36" s="88" t="s">
        <v>358</v>
      </c>
      <c r="C36" s="94">
        <f>Org!E605</f>
        <v>7390</v>
      </c>
      <c r="D36" s="94">
        <f>Org!F605</f>
        <v>0</v>
      </c>
      <c r="E36" s="95">
        <f>Org!G605</f>
        <v>7390</v>
      </c>
    </row>
    <row r="37" spans="1:5" ht="18" customHeight="1">
      <c r="A37" s="265"/>
      <c r="B37" s="264" t="s">
        <v>419</v>
      </c>
      <c r="C37" s="55">
        <f>SUM(C40:C48)</f>
        <v>225020</v>
      </c>
      <c r="D37" s="55">
        <f>SUM(D40:D48)</f>
        <v>0</v>
      </c>
      <c r="E37" s="168">
        <f>SUM(E40:E48)</f>
        <v>225020</v>
      </c>
    </row>
    <row r="38" spans="1:5" ht="25.5" hidden="1">
      <c r="A38" s="273" t="s">
        <v>288</v>
      </c>
      <c r="B38" s="274" t="s">
        <v>387</v>
      </c>
      <c r="C38" s="269"/>
      <c r="D38" s="269"/>
      <c r="E38" s="270"/>
    </row>
    <row r="39" spans="1:5" ht="38.25" hidden="1">
      <c r="A39" s="275" t="s">
        <v>288</v>
      </c>
      <c r="B39" s="88" t="s">
        <v>376</v>
      </c>
      <c r="C39" s="269"/>
      <c r="D39" s="269"/>
      <c r="E39" s="270"/>
    </row>
    <row r="40" spans="1:5" ht="15" customHeight="1">
      <c r="A40" s="275" t="s">
        <v>288</v>
      </c>
      <c r="B40" s="88" t="s">
        <v>294</v>
      </c>
      <c r="C40" s="269">
        <v>100000</v>
      </c>
      <c r="D40" s="269">
        <f>E40-C40</f>
        <v>0</v>
      </c>
      <c r="E40" s="270">
        <v>100000</v>
      </c>
    </row>
    <row r="41" spans="1:5" ht="26.25" customHeight="1">
      <c r="A41" s="275" t="s">
        <v>288</v>
      </c>
      <c r="B41" s="88" t="s">
        <v>295</v>
      </c>
      <c r="C41" s="269">
        <v>78000</v>
      </c>
      <c r="D41" s="269">
        <f aca="true" t="shared" si="0" ref="D41:D48">E41-C41</f>
        <v>0</v>
      </c>
      <c r="E41" s="270">
        <v>78000</v>
      </c>
    </row>
    <row r="42" spans="1:5" ht="12.75" customHeight="1">
      <c r="A42" s="275" t="s">
        <v>288</v>
      </c>
      <c r="B42" s="88" t="s">
        <v>451</v>
      </c>
      <c r="C42" s="94">
        <v>6000</v>
      </c>
      <c r="D42" s="269">
        <f t="shared" si="0"/>
        <v>0</v>
      </c>
      <c r="E42" s="95">
        <v>6000</v>
      </c>
    </row>
    <row r="43" spans="1:5" ht="26.25" customHeight="1" hidden="1">
      <c r="A43" s="275" t="s">
        <v>288</v>
      </c>
      <c r="B43" s="88" t="s">
        <v>442</v>
      </c>
      <c r="C43" s="269"/>
      <c r="D43" s="269">
        <f t="shared" si="0"/>
        <v>0</v>
      </c>
      <c r="E43" s="270"/>
    </row>
    <row r="44" spans="1:5" ht="0.75" customHeight="1" hidden="1">
      <c r="A44" s="275" t="s">
        <v>288</v>
      </c>
      <c r="B44" s="88" t="s">
        <v>413</v>
      </c>
      <c r="C44" s="269"/>
      <c r="D44" s="269">
        <f t="shared" si="0"/>
        <v>0</v>
      </c>
      <c r="E44" s="270"/>
    </row>
    <row r="45" spans="1:5" ht="24.75" customHeight="1" hidden="1">
      <c r="A45" s="275" t="s">
        <v>288</v>
      </c>
      <c r="B45" s="88" t="s">
        <v>448</v>
      </c>
      <c r="C45" s="269"/>
      <c r="D45" s="269">
        <f t="shared" si="0"/>
        <v>0</v>
      </c>
      <c r="E45" s="270"/>
    </row>
    <row r="46" spans="1:5" ht="36.75" customHeight="1">
      <c r="A46" s="275" t="s">
        <v>288</v>
      </c>
      <c r="B46" s="88" t="s">
        <v>652</v>
      </c>
      <c r="C46" s="269">
        <v>25000</v>
      </c>
      <c r="D46" s="269">
        <f t="shared" si="0"/>
        <v>0</v>
      </c>
      <c r="E46" s="270">
        <v>25000</v>
      </c>
    </row>
    <row r="47" spans="1:5" ht="32.25" customHeight="1">
      <c r="A47" s="275" t="s">
        <v>288</v>
      </c>
      <c r="B47" s="88" t="s">
        <v>659</v>
      </c>
      <c r="C47" s="269">
        <v>15000</v>
      </c>
      <c r="D47" s="269">
        <f t="shared" si="0"/>
        <v>0</v>
      </c>
      <c r="E47" s="270">
        <v>15000</v>
      </c>
    </row>
    <row r="48" spans="1:5" ht="32.25" customHeight="1">
      <c r="A48" s="275" t="s">
        <v>288</v>
      </c>
      <c r="B48" s="88" t="s">
        <v>671</v>
      </c>
      <c r="C48" s="269">
        <v>1020</v>
      </c>
      <c r="D48" s="269">
        <f t="shared" si="0"/>
        <v>0</v>
      </c>
      <c r="E48" s="270">
        <v>1020</v>
      </c>
    </row>
    <row r="49" spans="1:5" s="5" customFormat="1" ht="24.75" customHeight="1" thickBot="1">
      <c r="A49" s="277"/>
      <c r="B49" s="278" t="s">
        <v>330</v>
      </c>
      <c r="C49" s="104">
        <f>C6+C11+C20+C37</f>
        <v>3959540.33</v>
      </c>
      <c r="D49" s="104">
        <f>D6+D11+D20+D37</f>
        <v>-1405610.33</v>
      </c>
      <c r="E49" s="105">
        <f>E6+E11+E20+E37</f>
        <v>2553930</v>
      </c>
    </row>
    <row r="50" spans="1:2" ht="18" customHeight="1" thickTop="1">
      <c r="A50" s="22"/>
      <c r="B50" s="20"/>
    </row>
    <row r="51" spans="1:5" ht="0.75" customHeight="1">
      <c r="A51" s="3"/>
      <c r="B51" s="455" t="s">
        <v>704</v>
      </c>
      <c r="C51" s="1">
        <f>C8+C13+C23+C24+C26+C27+C40+C41+C42+C46+C47+C48</f>
        <v>5664930.33</v>
      </c>
      <c r="D51" s="1">
        <f>D8+D13+D23+D24+D26+D27+D40+D41+D42+D46+D47+D48</f>
        <v>-1396630.33</v>
      </c>
      <c r="E51" s="1">
        <f>E8+E13+E23+E24+E26+E27+E40+E41+E42+E46+E47+E48</f>
        <v>4268300</v>
      </c>
    </row>
    <row r="52" spans="1:5" ht="15.75" customHeight="1" hidden="1">
      <c r="A52" s="3"/>
      <c r="B52" s="455" t="s">
        <v>670</v>
      </c>
      <c r="C52" s="1">
        <f>C16+C17+C19+C30+C31+C32+C33+C35+C36</f>
        <v>1705390</v>
      </c>
      <c r="D52" s="1">
        <f>D16+D17+D19+D30+D31+D32+D33+D35+D36</f>
        <v>8980</v>
      </c>
      <c r="E52" s="1">
        <f>E16+E17+E19+E30+E31+E32+E33+E35+E36</f>
        <v>1714370</v>
      </c>
    </row>
    <row r="53" spans="1:5" ht="21.75" customHeight="1" hidden="1">
      <c r="A53" s="3"/>
      <c r="B53" s="456" t="s">
        <v>705</v>
      </c>
      <c r="C53" s="30">
        <f>C51-C52</f>
        <v>3959540.33</v>
      </c>
      <c r="D53" s="30">
        <f>D51-D52</f>
        <v>-1405610.33</v>
      </c>
      <c r="E53" s="30">
        <f>E51-E52</f>
        <v>2553930</v>
      </c>
    </row>
    <row r="54" ht="16.5" customHeight="1">
      <c r="A54" s="4"/>
    </row>
    <row r="55" spans="1:3" ht="15.75" customHeight="1">
      <c r="A55" s="23"/>
      <c r="B55" s="23"/>
      <c r="C55" s="1"/>
    </row>
    <row r="56" spans="1:3" ht="12.75">
      <c r="A56" s="23"/>
      <c r="B56" s="23"/>
      <c r="C56" s="1"/>
    </row>
    <row r="57" spans="1:3" ht="17.25" customHeight="1">
      <c r="A57" s="23"/>
      <c r="B57" s="23"/>
      <c r="C57" s="1"/>
    </row>
    <row r="58" spans="1:2" ht="12.75">
      <c r="A58" s="23"/>
      <c r="B58" s="23"/>
    </row>
    <row r="59" spans="1:2" ht="12.75">
      <c r="A59" s="23"/>
      <c r="B59" s="23"/>
    </row>
    <row r="60" spans="1:2" ht="12.75">
      <c r="A60" s="23"/>
      <c r="B60" s="23"/>
    </row>
    <row r="61" spans="1:2" ht="23.25" customHeight="1">
      <c r="A61" s="23"/>
      <c r="B61" s="23"/>
    </row>
    <row r="62" spans="1:2" ht="16.5" customHeight="1">
      <c r="A62" s="23"/>
      <c r="B62" s="23"/>
    </row>
    <row r="63" spans="1:2" ht="12.75">
      <c r="A63" s="23"/>
      <c r="B63" s="23"/>
    </row>
    <row r="64" spans="1:2" ht="12.75">
      <c r="A64" s="23"/>
      <c r="B64" s="23"/>
    </row>
    <row r="65" spans="1:2" ht="15" customHeight="1">
      <c r="A65" s="23"/>
      <c r="B65" s="23"/>
    </row>
    <row r="66" spans="1:2" ht="12.75">
      <c r="A66" s="23"/>
      <c r="B66" s="23"/>
    </row>
    <row r="67" spans="1:2" ht="26.25" customHeight="1">
      <c r="A67" s="23"/>
      <c r="B67" s="23"/>
    </row>
    <row r="68" spans="1:2" ht="12.75">
      <c r="A68" s="23"/>
      <c r="B68" s="23"/>
    </row>
    <row r="69" spans="1:2" ht="12.75">
      <c r="A69" s="23"/>
      <c r="B69" s="23"/>
    </row>
    <row r="70" spans="1:2" ht="12.75">
      <c r="A70" s="23"/>
      <c r="B70" s="23"/>
    </row>
    <row r="71" spans="1:2" ht="12.75">
      <c r="A71" s="23"/>
      <c r="B71" s="23"/>
    </row>
    <row r="72" spans="1:2" ht="12.75">
      <c r="A72" s="23"/>
      <c r="B72" s="23"/>
    </row>
    <row r="73" spans="1:2" ht="12.75">
      <c r="A73" s="23"/>
      <c r="B73" s="23"/>
    </row>
    <row r="74" spans="1:2" ht="15.75" customHeight="1">
      <c r="A74" s="23"/>
      <c r="B74" s="23"/>
    </row>
    <row r="75" spans="1:2" ht="12.75">
      <c r="A75" s="23"/>
      <c r="B75" s="23"/>
    </row>
    <row r="76" spans="1:2" ht="12.75">
      <c r="A76" s="23"/>
      <c r="B76" s="23"/>
    </row>
    <row r="77" spans="1:2" ht="12.75">
      <c r="A77" s="23"/>
      <c r="B77" s="23"/>
    </row>
    <row r="78" spans="1:2" ht="12.75" customHeight="1">
      <c r="A78" s="23"/>
      <c r="B78" s="23"/>
    </row>
    <row r="79" spans="1:2" ht="12.75">
      <c r="A79" s="23"/>
      <c r="B79" s="23"/>
    </row>
    <row r="80" spans="1:2" s="21" customFormat="1" ht="11.25">
      <c r="A80" s="23"/>
      <c r="B80" s="23"/>
    </row>
    <row r="81" spans="1:2" s="21" customFormat="1" ht="11.25">
      <c r="A81" s="23"/>
      <c r="B81" s="23"/>
    </row>
    <row r="82" spans="1:2" s="21" customFormat="1" ht="11.25">
      <c r="A82" s="23"/>
      <c r="B82" s="23"/>
    </row>
    <row r="83" spans="1:2" s="21" customFormat="1" ht="11.25">
      <c r="A83" s="23"/>
      <c r="B83" s="23"/>
    </row>
    <row r="84" spans="1:2" s="21" customFormat="1" ht="11.25">
      <c r="A84" s="23"/>
      <c r="B84" s="23"/>
    </row>
    <row r="85" spans="1:2" s="21" customFormat="1" ht="11.25">
      <c r="A85" s="23"/>
      <c r="B85" s="23"/>
    </row>
    <row r="86" spans="1:2" s="21" customFormat="1" ht="11.25">
      <c r="A86" s="23"/>
      <c r="B86" s="23"/>
    </row>
    <row r="87" spans="1:2" s="21" customFormat="1" ht="11.25">
      <c r="A87" s="23"/>
      <c r="B87" s="23"/>
    </row>
    <row r="88" spans="1:2" s="21" customFormat="1" ht="11.25">
      <c r="A88" s="23"/>
      <c r="B88" s="23"/>
    </row>
    <row r="89" spans="1:2" s="21" customFormat="1" ht="11.25">
      <c r="A89" s="23"/>
      <c r="B89" s="23"/>
    </row>
    <row r="90" spans="1:2" s="21" customFormat="1" ht="11.25">
      <c r="A90" s="23"/>
      <c r="B90" s="23"/>
    </row>
    <row r="91" spans="1:2" s="21" customFormat="1" ht="11.25">
      <c r="A91" s="23"/>
      <c r="B91" s="23"/>
    </row>
    <row r="92" spans="1:2" s="21" customFormat="1" ht="11.25">
      <c r="A92" s="23"/>
      <c r="B92" s="23"/>
    </row>
    <row r="93" spans="1:2" s="21" customFormat="1" ht="11.25">
      <c r="A93" s="23"/>
      <c r="B93" s="23"/>
    </row>
    <row r="94" spans="1:2" s="21" customFormat="1" ht="11.25">
      <c r="A94" s="23"/>
      <c r="B94" s="23"/>
    </row>
    <row r="95" spans="1:2" s="21" customFormat="1" ht="11.25">
      <c r="A95" s="23"/>
      <c r="B95" s="23"/>
    </row>
    <row r="96" spans="1:2" s="21" customFormat="1" ht="11.25">
      <c r="A96" s="23"/>
      <c r="B96" s="23"/>
    </row>
    <row r="97" spans="1:2" s="21" customFormat="1" ht="11.25">
      <c r="A97" s="23"/>
      <c r="B97" s="23"/>
    </row>
    <row r="98" spans="1:2" s="21" customFormat="1" ht="11.25">
      <c r="A98" s="23"/>
      <c r="B98" s="23"/>
    </row>
    <row r="99" spans="1:2" s="21" customFormat="1" ht="11.25">
      <c r="A99" s="23"/>
      <c r="B99" s="23"/>
    </row>
    <row r="100" spans="1:2" s="21" customFormat="1" ht="11.25">
      <c r="A100" s="23"/>
      <c r="B100" s="23"/>
    </row>
    <row r="101" spans="1:2" s="21" customFormat="1" ht="11.25">
      <c r="A101" s="23"/>
      <c r="B101" s="23"/>
    </row>
    <row r="102" spans="1:2" s="21" customFormat="1" ht="11.25">
      <c r="A102" s="23"/>
      <c r="B102" s="23"/>
    </row>
    <row r="103" spans="1:2" s="21" customFormat="1" ht="11.25">
      <c r="A103" s="23"/>
      <c r="B103" s="23"/>
    </row>
    <row r="104" spans="1:2" s="21" customFormat="1" ht="11.25">
      <c r="A104" s="23"/>
      <c r="B104" s="23"/>
    </row>
    <row r="105" spans="1:2" s="21" customFormat="1" ht="11.25">
      <c r="A105" s="23"/>
      <c r="B105" s="23"/>
    </row>
    <row r="106" spans="1:2" s="21" customFormat="1" ht="11.25">
      <c r="A106" s="23"/>
      <c r="B106" s="23"/>
    </row>
    <row r="107" spans="1:2" s="21" customFormat="1" ht="11.25">
      <c r="A107" s="23"/>
      <c r="B107" s="23"/>
    </row>
    <row r="108" spans="1:2" s="21" customFormat="1" ht="11.25">
      <c r="A108" s="23"/>
      <c r="B108" s="23"/>
    </row>
    <row r="109" spans="1:2" s="21" customFormat="1" ht="11.25">
      <c r="A109" s="23"/>
      <c r="B109" s="23"/>
    </row>
    <row r="110" spans="1:2" s="21" customFormat="1" ht="11.25">
      <c r="A110" s="23"/>
      <c r="B110" s="23"/>
    </row>
    <row r="111" spans="1:2" s="21" customFormat="1" ht="11.25">
      <c r="A111" s="23"/>
      <c r="B111" s="23"/>
    </row>
    <row r="112" spans="1:2" ht="12.75">
      <c r="A112" s="23"/>
      <c r="B112" s="23"/>
    </row>
    <row r="113" spans="1:2" ht="12.75">
      <c r="A113" s="23"/>
      <c r="B113" s="23"/>
    </row>
    <row r="114" spans="1:2" ht="12.75">
      <c r="A114" s="23"/>
      <c r="B114" s="23"/>
    </row>
    <row r="115" spans="1:2" ht="12.75">
      <c r="A115" s="23"/>
      <c r="B115" s="23"/>
    </row>
    <row r="116" spans="1:2" ht="12.75">
      <c r="A116" s="23"/>
      <c r="B116" s="23"/>
    </row>
    <row r="117" spans="1:2" ht="12.75">
      <c r="A117" s="23"/>
      <c r="B117" s="23"/>
    </row>
    <row r="118" spans="1:2" ht="12.75">
      <c r="A118" s="23"/>
      <c r="B118" s="23"/>
    </row>
    <row r="119" spans="1:2" ht="12.75">
      <c r="A119" s="23"/>
      <c r="B119" s="23"/>
    </row>
    <row r="120" spans="1:2" ht="12.75">
      <c r="A120" s="23"/>
      <c r="B120" s="23"/>
    </row>
    <row r="121" spans="1:2" ht="12.75">
      <c r="A121" s="23"/>
      <c r="B121" s="23"/>
    </row>
    <row r="122" spans="1:2" ht="12.75">
      <c r="A122" s="23"/>
      <c r="B122" s="23"/>
    </row>
    <row r="123" spans="1:2" ht="12.75">
      <c r="A123" s="23"/>
      <c r="B123" s="3"/>
    </row>
    <row r="124" spans="1:2" ht="12.75">
      <c r="A124" s="4"/>
      <c r="B124" s="3"/>
    </row>
    <row r="125" spans="1:2" ht="12.75">
      <c r="A125" s="4"/>
      <c r="B125" s="3"/>
    </row>
    <row r="126" spans="1:2" ht="12.75">
      <c r="A126" s="4"/>
      <c r="B126" s="3"/>
    </row>
    <row r="127" spans="1:2" ht="12.75">
      <c r="A127" s="4"/>
      <c r="B127" s="3"/>
    </row>
    <row r="128" spans="1:2" ht="12.75">
      <c r="A128" s="4"/>
      <c r="B128" s="3"/>
    </row>
    <row r="129" spans="1:2" ht="12.75">
      <c r="A129" s="4"/>
      <c r="B129" s="3"/>
    </row>
    <row r="130" spans="1:2" ht="12.75">
      <c r="A130" s="4"/>
      <c r="B130" s="3"/>
    </row>
    <row r="131" spans="1:2" ht="12.75">
      <c r="A131" s="4"/>
      <c r="B131" s="3"/>
    </row>
    <row r="132" spans="1:2" ht="12.75">
      <c r="A132" s="4"/>
      <c r="B132" s="3"/>
    </row>
    <row r="133" spans="1:2" ht="12.75">
      <c r="A133" s="4"/>
      <c r="B133" s="3"/>
    </row>
    <row r="134" spans="1:2" ht="12.75">
      <c r="A134" s="4"/>
      <c r="B134" s="3"/>
    </row>
    <row r="135" spans="1:2" s="21" customFormat="1" ht="12.75">
      <c r="A135" s="4"/>
      <c r="B135" s="3"/>
    </row>
    <row r="136" spans="1:2" s="21" customFormat="1" ht="12.75">
      <c r="A136" s="4"/>
      <c r="B136" s="3"/>
    </row>
    <row r="137" spans="1:2" s="21" customFormat="1" ht="12.75">
      <c r="A137" s="4"/>
      <c r="B137" s="3"/>
    </row>
    <row r="138" spans="1:2" s="21" customFormat="1" ht="12.75">
      <c r="A138" s="4"/>
      <c r="B138" s="3"/>
    </row>
    <row r="139" spans="1:2" s="21" customFormat="1" ht="12.75">
      <c r="A139" s="4"/>
      <c r="B139" s="3"/>
    </row>
    <row r="140" spans="1:2" s="21" customFormat="1" ht="12.75">
      <c r="A140" s="4"/>
      <c r="B140" s="3"/>
    </row>
    <row r="141" spans="1:2" s="21" customFormat="1" ht="12.75">
      <c r="A141" s="4"/>
      <c r="B141" s="3"/>
    </row>
    <row r="142" spans="1:2" s="21" customFormat="1" ht="12.75">
      <c r="A142" s="4"/>
      <c r="B142" s="3"/>
    </row>
    <row r="143" spans="1:2" s="21" customFormat="1" ht="12.75">
      <c r="A143" s="4"/>
      <c r="B143" s="3"/>
    </row>
    <row r="144" spans="1:2" s="21" customFormat="1" ht="12.75">
      <c r="A144" s="4"/>
      <c r="B144" s="3"/>
    </row>
    <row r="145" spans="1:2" s="21" customFormat="1" ht="12.75">
      <c r="A145" s="4"/>
      <c r="B145" s="3"/>
    </row>
    <row r="146" spans="1:2" s="21" customFormat="1" ht="12.75">
      <c r="A146" s="4"/>
      <c r="B146" s="3"/>
    </row>
    <row r="147" spans="1:2" s="21" customFormat="1" ht="12.75">
      <c r="A147" s="4"/>
      <c r="B147" s="3"/>
    </row>
    <row r="148" spans="1:2" s="21" customFormat="1" ht="12.75">
      <c r="A148" s="4"/>
      <c r="B148" s="3"/>
    </row>
    <row r="149" spans="1:2" s="21" customFormat="1" ht="12.75">
      <c r="A149" s="4"/>
      <c r="B149"/>
    </row>
  </sheetData>
  <sheetProtection/>
  <mergeCells count="6">
    <mergeCell ref="E2:E3"/>
    <mergeCell ref="A1:C1"/>
    <mergeCell ref="C2:C3"/>
    <mergeCell ref="A2:A3"/>
    <mergeCell ref="B2:B3"/>
    <mergeCell ref="D2:D3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scale="104" r:id="rId1"/>
  <headerFooter alignWithMargins="0">
    <oddFooter>&amp;R&amp;P</oddFooter>
  </headerFooter>
  <rowBreaks count="2" manualBreakCount="2">
    <brk id="26" max="4" man="1"/>
    <brk id="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27"/>
  <sheetViews>
    <sheetView zoomScale="95" zoomScaleNormal="95" zoomScaleSheetLayoutView="75" zoomScalePageLayoutView="0" workbookViewId="0" topLeftCell="A1">
      <pane xSplit="4" ySplit="4" topLeftCell="E60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623" sqref="D623"/>
    </sheetView>
  </sheetViews>
  <sheetFormatPr defaultColWidth="9.140625" defaultRowHeight="12.75"/>
  <cols>
    <col min="1" max="1" width="6.8515625" style="0" customWidth="1"/>
    <col min="2" max="2" width="10.00390625" style="0" customWidth="1"/>
    <col min="3" max="3" width="8.28125" style="0" customWidth="1"/>
    <col min="4" max="4" width="60.8515625" style="0" customWidth="1"/>
    <col min="5" max="7" width="16.28125" style="0" customWidth="1"/>
    <col min="8" max="8" width="10.8515625" style="0" customWidth="1"/>
    <col min="9" max="9" width="10.140625" style="0" customWidth="1"/>
    <col min="10" max="10" width="4.8515625" style="0" customWidth="1"/>
  </cols>
  <sheetData>
    <row r="1" spans="1:10" ht="36" customHeight="1" thickBot="1" thickTop="1">
      <c r="A1" s="521" t="s">
        <v>685</v>
      </c>
      <c r="B1" s="522"/>
      <c r="C1" s="522"/>
      <c r="D1" s="522"/>
      <c r="E1" s="522"/>
      <c r="F1" s="522"/>
      <c r="G1" s="522"/>
      <c r="H1" s="522"/>
      <c r="I1" s="523"/>
      <c r="J1" s="6"/>
    </row>
    <row r="2" spans="1:10" ht="21" customHeight="1" thickTop="1">
      <c r="A2" s="524">
        <f>+G23+A2:H8+A2:H20</f>
        <v>0</v>
      </c>
      <c r="B2" s="478" t="s">
        <v>3</v>
      </c>
      <c r="C2" s="525"/>
      <c r="D2" s="478" t="s">
        <v>201</v>
      </c>
      <c r="E2" s="517" t="s">
        <v>682</v>
      </c>
      <c r="F2" s="484" t="s">
        <v>711</v>
      </c>
      <c r="G2" s="484" t="s">
        <v>686</v>
      </c>
      <c r="H2" s="519" t="s">
        <v>109</v>
      </c>
      <c r="I2" s="526" t="s">
        <v>479</v>
      </c>
      <c r="J2" s="6"/>
    </row>
    <row r="3" spans="1:10" ht="39.75" customHeight="1">
      <c r="A3" s="477"/>
      <c r="B3" s="133" t="s">
        <v>429</v>
      </c>
      <c r="C3" s="443" t="s">
        <v>22</v>
      </c>
      <c r="D3" s="479"/>
      <c r="E3" s="518"/>
      <c r="F3" s="485"/>
      <c r="G3" s="485"/>
      <c r="H3" s="520"/>
      <c r="I3" s="527"/>
      <c r="J3" s="44"/>
    </row>
    <row r="4" spans="1:10" ht="9.75" customHeight="1">
      <c r="A4" s="134">
        <v>1</v>
      </c>
      <c r="B4" s="107">
        <v>2</v>
      </c>
      <c r="C4" s="107">
        <v>3</v>
      </c>
      <c r="D4" s="448">
        <v>4</v>
      </c>
      <c r="E4" s="135">
        <v>5</v>
      </c>
      <c r="F4" s="135" t="s">
        <v>628</v>
      </c>
      <c r="G4" s="135">
        <v>7</v>
      </c>
      <c r="H4" s="135" t="s">
        <v>631</v>
      </c>
      <c r="I4" s="109">
        <v>9</v>
      </c>
      <c r="J4" s="6"/>
    </row>
    <row r="5" spans="1:10" ht="9.75" customHeight="1">
      <c r="A5" s="507"/>
      <c r="B5" s="508"/>
      <c r="C5" s="503" t="s">
        <v>583</v>
      </c>
      <c r="D5" s="503"/>
      <c r="E5" s="137"/>
      <c r="F5" s="137"/>
      <c r="G5" s="137"/>
      <c r="H5" s="137"/>
      <c r="I5" s="138"/>
      <c r="J5" s="6"/>
    </row>
    <row r="6" spans="1:10" ht="9.75" customHeight="1">
      <c r="A6" s="507"/>
      <c r="B6" s="508"/>
      <c r="C6" s="503"/>
      <c r="D6" s="503"/>
      <c r="E6" s="139"/>
      <c r="F6" s="139"/>
      <c r="G6" s="139"/>
      <c r="H6" s="139"/>
      <c r="I6" s="140"/>
      <c r="J6" s="6"/>
    </row>
    <row r="7" spans="1:10" ht="24" customHeight="1">
      <c r="A7" s="507"/>
      <c r="B7" s="508"/>
      <c r="C7" s="503"/>
      <c r="D7" s="503"/>
      <c r="E7" s="141"/>
      <c r="F7" s="141"/>
      <c r="G7" s="141"/>
      <c r="H7" s="141"/>
      <c r="I7" s="142"/>
      <c r="J7" s="6"/>
    </row>
    <row r="8" spans="1:10" ht="15" customHeight="1">
      <c r="A8" s="129"/>
      <c r="B8" s="52">
        <v>411000</v>
      </c>
      <c r="C8" s="66"/>
      <c r="D8" s="143" t="s">
        <v>118</v>
      </c>
      <c r="E8" s="144">
        <f>SUM(E9)</f>
        <v>3500</v>
      </c>
      <c r="F8" s="144">
        <f>SUM(F9)</f>
        <v>0</v>
      </c>
      <c r="G8" s="144">
        <f>SUM(G9)</f>
        <v>3500</v>
      </c>
      <c r="H8" s="145">
        <f>G8/E8*100</f>
        <v>100</v>
      </c>
      <c r="I8" s="146">
        <f aca="true" t="shared" si="0" ref="I8:I20">G8/$G$611*100</f>
        <v>0.010930668332292318</v>
      </c>
      <c r="J8" s="6"/>
    </row>
    <row r="9" spans="1:10" ht="13.5" customHeight="1">
      <c r="A9" s="129" t="s">
        <v>23</v>
      </c>
      <c r="B9" s="100"/>
      <c r="C9" s="147">
        <v>411200</v>
      </c>
      <c r="D9" s="75" t="s">
        <v>334</v>
      </c>
      <c r="E9" s="323">
        <v>3500</v>
      </c>
      <c r="F9" s="323">
        <f>G9-E9</f>
        <v>0</v>
      </c>
      <c r="G9" s="323">
        <v>3500</v>
      </c>
      <c r="H9" s="148">
        <f aca="true" t="shared" si="1" ref="H9:H20">G9/E9*100</f>
        <v>100</v>
      </c>
      <c r="I9" s="215">
        <f t="shared" si="0"/>
        <v>0.010930668332292318</v>
      </c>
      <c r="J9" s="6"/>
    </row>
    <row r="10" spans="1:10" ht="14.25" customHeight="1">
      <c r="A10" s="129"/>
      <c r="B10" s="52">
        <v>412000</v>
      </c>
      <c r="C10" s="66"/>
      <c r="D10" s="143" t="s">
        <v>119</v>
      </c>
      <c r="E10" s="149">
        <f>SUM(E11:E17)</f>
        <v>321800</v>
      </c>
      <c r="F10" s="149">
        <f>SUM(F11:F17)</f>
        <v>0</v>
      </c>
      <c r="G10" s="149">
        <f>SUM(G11:G17)</f>
        <v>321800</v>
      </c>
      <c r="H10" s="145">
        <f t="shared" si="1"/>
        <v>100</v>
      </c>
      <c r="I10" s="146">
        <f t="shared" si="0"/>
        <v>1.004996876951905</v>
      </c>
      <c r="J10" s="6"/>
    </row>
    <row r="11" spans="1:10" ht="12.75" customHeight="1">
      <c r="A11" s="129" t="s">
        <v>23</v>
      </c>
      <c r="B11" s="46"/>
      <c r="C11" s="66">
        <v>412900</v>
      </c>
      <c r="D11" s="88" t="s">
        <v>0</v>
      </c>
      <c r="E11" s="196">
        <v>11000</v>
      </c>
      <c r="F11" s="196">
        <f aca="true" t="shared" si="2" ref="F11:F17">G11-E11</f>
        <v>0</v>
      </c>
      <c r="G11" s="196">
        <v>11000</v>
      </c>
      <c r="H11" s="148">
        <f t="shared" si="1"/>
        <v>100</v>
      </c>
      <c r="I11" s="215">
        <f t="shared" si="0"/>
        <v>0.034353529044347283</v>
      </c>
      <c r="J11" s="10"/>
    </row>
    <row r="12" spans="1:10" ht="12.75" customHeight="1">
      <c r="A12" s="129" t="s">
        <v>23</v>
      </c>
      <c r="B12" s="46"/>
      <c r="C12" s="66">
        <v>412900</v>
      </c>
      <c r="D12" s="88" t="s">
        <v>202</v>
      </c>
      <c r="E12" s="154">
        <v>1500</v>
      </c>
      <c r="F12" s="196">
        <f t="shared" si="2"/>
        <v>0</v>
      </c>
      <c r="G12" s="154">
        <v>1500</v>
      </c>
      <c r="H12" s="148">
        <f t="shared" si="1"/>
        <v>100</v>
      </c>
      <c r="I12" s="215">
        <f t="shared" si="0"/>
        <v>0.004684572142410993</v>
      </c>
      <c r="J12" s="10"/>
    </row>
    <row r="13" spans="1:10" ht="12.75" customHeight="1">
      <c r="A13" s="129" t="s">
        <v>23</v>
      </c>
      <c r="B13" s="46"/>
      <c r="C13" s="66">
        <v>412900</v>
      </c>
      <c r="D13" s="88" t="s">
        <v>634</v>
      </c>
      <c r="E13" s="154">
        <v>4300</v>
      </c>
      <c r="F13" s="196">
        <f t="shared" si="2"/>
        <v>0</v>
      </c>
      <c r="G13" s="154">
        <v>4300</v>
      </c>
      <c r="H13" s="148">
        <f t="shared" si="1"/>
        <v>100</v>
      </c>
      <c r="I13" s="215">
        <f t="shared" si="0"/>
        <v>0.013429106808244846</v>
      </c>
      <c r="J13" s="10"/>
    </row>
    <row r="14" spans="1:10" ht="12.75" customHeight="1">
      <c r="A14" s="131" t="s">
        <v>23</v>
      </c>
      <c r="B14" s="46"/>
      <c r="C14" s="97">
        <v>412900</v>
      </c>
      <c r="D14" s="93" t="s">
        <v>93</v>
      </c>
      <c r="E14" s="154">
        <v>244000</v>
      </c>
      <c r="F14" s="196">
        <f t="shared" si="2"/>
        <v>0</v>
      </c>
      <c r="G14" s="154">
        <v>244000</v>
      </c>
      <c r="H14" s="148">
        <f t="shared" si="1"/>
        <v>100</v>
      </c>
      <c r="I14" s="215">
        <f t="shared" si="0"/>
        <v>0.7620237351655216</v>
      </c>
      <c r="J14" s="10"/>
    </row>
    <row r="15" spans="1:10" ht="12.75" customHeight="1">
      <c r="A15" s="131" t="s">
        <v>23</v>
      </c>
      <c r="B15" s="46"/>
      <c r="C15" s="97">
        <v>412900</v>
      </c>
      <c r="D15" s="93" t="s">
        <v>180</v>
      </c>
      <c r="E15" s="154">
        <v>4000</v>
      </c>
      <c r="F15" s="196">
        <f t="shared" si="2"/>
        <v>0</v>
      </c>
      <c r="G15" s="154">
        <v>4000</v>
      </c>
      <c r="H15" s="148">
        <f t="shared" si="1"/>
        <v>100</v>
      </c>
      <c r="I15" s="215">
        <f t="shared" si="0"/>
        <v>0.012492192379762648</v>
      </c>
      <c r="J15" s="10"/>
    </row>
    <row r="16" spans="1:10" ht="12.75" customHeight="1">
      <c r="A16" s="131" t="s">
        <v>25</v>
      </c>
      <c r="B16" s="46"/>
      <c r="C16" s="97">
        <v>412900</v>
      </c>
      <c r="D16" s="93" t="s">
        <v>207</v>
      </c>
      <c r="E16" s="152">
        <v>55000</v>
      </c>
      <c r="F16" s="196">
        <f t="shared" si="2"/>
        <v>0</v>
      </c>
      <c r="G16" s="152">
        <v>55000</v>
      </c>
      <c r="H16" s="148">
        <f t="shared" si="1"/>
        <v>100</v>
      </c>
      <c r="I16" s="215">
        <f t="shared" si="0"/>
        <v>0.1717676452217364</v>
      </c>
      <c r="J16" s="10"/>
    </row>
    <row r="17" spans="1:10" ht="12.75" customHeight="1">
      <c r="A17" s="131" t="s">
        <v>23</v>
      </c>
      <c r="B17" s="46"/>
      <c r="C17" s="97">
        <v>412900</v>
      </c>
      <c r="D17" s="93" t="s">
        <v>128</v>
      </c>
      <c r="E17" s="148">
        <v>2000</v>
      </c>
      <c r="F17" s="196">
        <f t="shared" si="2"/>
        <v>0</v>
      </c>
      <c r="G17" s="148">
        <v>2000</v>
      </c>
      <c r="H17" s="148">
        <f t="shared" si="1"/>
        <v>100</v>
      </c>
      <c r="I17" s="215">
        <f t="shared" si="0"/>
        <v>0.006246096189881324</v>
      </c>
      <c r="J17" s="10"/>
    </row>
    <row r="18" spans="1:10" ht="14.25" customHeight="1">
      <c r="A18" s="129"/>
      <c r="B18" s="52">
        <v>415000</v>
      </c>
      <c r="C18" s="66"/>
      <c r="D18" s="155" t="s">
        <v>133</v>
      </c>
      <c r="E18" s="149">
        <f>SUM(E19:E19)</f>
        <v>28000</v>
      </c>
      <c r="F18" s="149">
        <f>SUM(F19:F19)</f>
        <v>-1400</v>
      </c>
      <c r="G18" s="149">
        <f>SUM(G19:G19)</f>
        <v>26600</v>
      </c>
      <c r="H18" s="145">
        <f t="shared" si="1"/>
        <v>95</v>
      </c>
      <c r="I18" s="146">
        <f t="shared" si="0"/>
        <v>0.08307307932542161</v>
      </c>
      <c r="J18" s="10"/>
    </row>
    <row r="19" spans="1:10" ht="12" customHeight="1">
      <c r="A19" s="129" t="s">
        <v>25</v>
      </c>
      <c r="B19" s="46"/>
      <c r="C19" s="66">
        <v>415200</v>
      </c>
      <c r="D19" s="88" t="s">
        <v>206</v>
      </c>
      <c r="E19" s="154">
        <v>28000</v>
      </c>
      <c r="F19" s="154">
        <f>G19-E19</f>
        <v>-1400</v>
      </c>
      <c r="G19" s="154">
        <v>26600</v>
      </c>
      <c r="H19" s="148">
        <f t="shared" si="1"/>
        <v>95</v>
      </c>
      <c r="I19" s="215">
        <f t="shared" si="0"/>
        <v>0.08307307932542161</v>
      </c>
      <c r="J19" s="10"/>
    </row>
    <row r="20" spans="1:10" ht="27" customHeight="1">
      <c r="A20" s="507"/>
      <c r="B20" s="508"/>
      <c r="C20" s="501" t="s">
        <v>78</v>
      </c>
      <c r="D20" s="501"/>
      <c r="E20" s="156">
        <f>E8+E10+E18</f>
        <v>353300</v>
      </c>
      <c r="F20" s="156">
        <f>F8+F10+F18</f>
        <v>-1400</v>
      </c>
      <c r="G20" s="156">
        <f>G8+G10+G18</f>
        <v>351900</v>
      </c>
      <c r="H20" s="382">
        <f t="shared" si="1"/>
        <v>99.60373620152845</v>
      </c>
      <c r="I20" s="422">
        <f t="shared" si="0"/>
        <v>1.0990006246096191</v>
      </c>
      <c r="J20" s="10"/>
    </row>
    <row r="21" spans="1:10" ht="9.75" customHeight="1">
      <c r="A21" s="507"/>
      <c r="B21" s="508"/>
      <c r="C21" s="503" t="s">
        <v>582</v>
      </c>
      <c r="D21" s="503"/>
      <c r="E21" s="158"/>
      <c r="F21" s="158"/>
      <c r="G21" s="158"/>
      <c r="H21" s="158"/>
      <c r="I21" s="159"/>
      <c r="J21" s="10"/>
    </row>
    <row r="22" spans="1:10" ht="9.75" customHeight="1">
      <c r="A22" s="507"/>
      <c r="B22" s="508"/>
      <c r="C22" s="503"/>
      <c r="D22" s="503"/>
      <c r="E22" s="160"/>
      <c r="F22" s="160"/>
      <c r="G22" s="160"/>
      <c r="H22" s="160"/>
      <c r="I22" s="161"/>
      <c r="J22" s="10"/>
    </row>
    <row r="23" spans="1:10" ht="25.5" customHeight="1">
      <c r="A23" s="507"/>
      <c r="B23" s="508"/>
      <c r="C23" s="503"/>
      <c r="D23" s="503"/>
      <c r="E23" s="162"/>
      <c r="F23" s="162"/>
      <c r="G23" s="162"/>
      <c r="H23" s="162"/>
      <c r="I23" s="163"/>
      <c r="J23" s="10"/>
    </row>
    <row r="24" spans="1:10" ht="15" customHeight="1">
      <c r="A24" s="129"/>
      <c r="B24" s="52">
        <v>411000</v>
      </c>
      <c r="C24" s="66"/>
      <c r="D24" s="143" t="s">
        <v>118</v>
      </c>
      <c r="E24" s="144">
        <f>SUM(E25)</f>
        <v>2400</v>
      </c>
      <c r="F24" s="144">
        <f>SUM(F25)</f>
        <v>0</v>
      </c>
      <c r="G24" s="144">
        <f>SUM(G25)</f>
        <v>2400</v>
      </c>
      <c r="H24" s="144">
        <f>G24/E24*100</f>
        <v>100</v>
      </c>
      <c r="I24" s="146">
        <f aca="true" t="shared" si="3" ref="I24:I35">G24/$G$611*100</f>
        <v>0.0074953154278575886</v>
      </c>
      <c r="J24" s="10"/>
    </row>
    <row r="25" spans="1:10" ht="12.75">
      <c r="A25" s="129" t="s">
        <v>23</v>
      </c>
      <c r="B25" s="100"/>
      <c r="C25" s="147">
        <v>411200</v>
      </c>
      <c r="D25" s="75" t="s">
        <v>334</v>
      </c>
      <c r="E25" s="164">
        <v>2400</v>
      </c>
      <c r="F25" s="164">
        <f>G25-E25</f>
        <v>0</v>
      </c>
      <c r="G25" s="164">
        <v>2400</v>
      </c>
      <c r="H25" s="165">
        <f aca="true" t="shared" si="4" ref="H25:H39">G25/E25*100</f>
        <v>100</v>
      </c>
      <c r="I25" s="215">
        <f t="shared" si="3"/>
        <v>0.0074953154278575886</v>
      </c>
      <c r="J25" s="10"/>
    </row>
    <row r="26" spans="1:10" ht="12" customHeight="1">
      <c r="A26" s="129"/>
      <c r="B26" s="52">
        <v>412000</v>
      </c>
      <c r="C26" s="66"/>
      <c r="D26" s="143" t="s">
        <v>119</v>
      </c>
      <c r="E26" s="149">
        <f>SUM(E27:E36)</f>
        <v>87350</v>
      </c>
      <c r="F26" s="149">
        <f>SUM(F27:F36)</f>
        <v>2000</v>
      </c>
      <c r="G26" s="149">
        <f>SUM(G27:G36)</f>
        <v>89350</v>
      </c>
      <c r="H26" s="144">
        <f t="shared" si="4"/>
        <v>102.28963938179736</v>
      </c>
      <c r="I26" s="146">
        <f t="shared" si="3"/>
        <v>0.27904434728294814</v>
      </c>
      <c r="J26" s="10"/>
    </row>
    <row r="27" spans="1:10" ht="12.75" customHeight="1">
      <c r="A27" s="129" t="s">
        <v>23</v>
      </c>
      <c r="B27" s="132"/>
      <c r="C27" s="66">
        <v>412900</v>
      </c>
      <c r="D27" s="88" t="s">
        <v>0</v>
      </c>
      <c r="E27" s="154">
        <v>17000</v>
      </c>
      <c r="F27" s="154">
        <f>G27-E27</f>
        <v>-200</v>
      </c>
      <c r="G27" s="154">
        <v>16800</v>
      </c>
      <c r="H27" s="165">
        <f t="shared" si="4"/>
        <v>98.82352941176471</v>
      </c>
      <c r="I27" s="215">
        <f t="shared" si="3"/>
        <v>0.052467207995003116</v>
      </c>
      <c r="J27" s="10"/>
    </row>
    <row r="28" spans="1:10" ht="12.75" customHeight="1" hidden="1">
      <c r="A28" s="129" t="s">
        <v>23</v>
      </c>
      <c r="B28" s="132"/>
      <c r="C28" s="66">
        <v>412900</v>
      </c>
      <c r="D28" s="88" t="s">
        <v>456</v>
      </c>
      <c r="E28" s="154"/>
      <c r="F28" s="154">
        <f aca="true" t="shared" si="5" ref="F28:F36">G28-E28</f>
        <v>0</v>
      </c>
      <c r="G28" s="154"/>
      <c r="H28" s="165" t="e">
        <f t="shared" si="4"/>
        <v>#DIV/0!</v>
      </c>
      <c r="I28" s="215">
        <f t="shared" si="3"/>
        <v>0</v>
      </c>
      <c r="J28" s="10"/>
    </row>
    <row r="29" spans="1:9" ht="12.75" customHeight="1">
      <c r="A29" s="129" t="s">
        <v>23</v>
      </c>
      <c r="B29" s="132"/>
      <c r="C29" s="97">
        <v>412900</v>
      </c>
      <c r="D29" s="93" t="s">
        <v>94</v>
      </c>
      <c r="E29" s="154">
        <v>6200</v>
      </c>
      <c r="F29" s="154">
        <f t="shared" si="5"/>
        <v>0</v>
      </c>
      <c r="G29" s="154">
        <v>6200</v>
      </c>
      <c r="H29" s="165">
        <f t="shared" si="4"/>
        <v>100</v>
      </c>
      <c r="I29" s="215">
        <f t="shared" si="3"/>
        <v>0.019362898188632106</v>
      </c>
    </row>
    <row r="30" spans="1:10" ht="12.75" customHeight="1" hidden="1">
      <c r="A30" s="129" t="s">
        <v>23</v>
      </c>
      <c r="B30" s="52"/>
      <c r="C30" s="77">
        <v>412900</v>
      </c>
      <c r="D30" s="166" t="s">
        <v>184</v>
      </c>
      <c r="E30" s="154"/>
      <c r="F30" s="154">
        <f t="shared" si="5"/>
        <v>0</v>
      </c>
      <c r="G30" s="154"/>
      <c r="H30" s="165" t="e">
        <f t="shared" si="4"/>
        <v>#DIV/0!</v>
      </c>
      <c r="I30" s="215">
        <f t="shared" si="3"/>
        <v>0</v>
      </c>
      <c r="J30" s="6"/>
    </row>
    <row r="31" spans="1:10" ht="12" customHeight="1">
      <c r="A31" s="131" t="s">
        <v>23</v>
      </c>
      <c r="B31" s="132"/>
      <c r="C31" s="77">
        <v>412900</v>
      </c>
      <c r="D31" s="93" t="s">
        <v>234</v>
      </c>
      <c r="E31" s="154">
        <v>7000</v>
      </c>
      <c r="F31" s="154">
        <f t="shared" si="5"/>
        <v>0</v>
      </c>
      <c r="G31" s="154">
        <v>7000</v>
      </c>
      <c r="H31" s="165">
        <f t="shared" si="4"/>
        <v>100</v>
      </c>
      <c r="I31" s="215">
        <f t="shared" si="3"/>
        <v>0.021861336664584636</v>
      </c>
      <c r="J31" s="6"/>
    </row>
    <row r="32" spans="1:10" ht="1.5" customHeight="1" hidden="1">
      <c r="A32" s="131" t="s">
        <v>23</v>
      </c>
      <c r="B32" s="132"/>
      <c r="C32" s="77">
        <v>412900</v>
      </c>
      <c r="D32" s="93" t="s">
        <v>128</v>
      </c>
      <c r="E32" s="154"/>
      <c r="F32" s="154">
        <f t="shared" si="5"/>
        <v>0</v>
      </c>
      <c r="G32" s="154"/>
      <c r="H32" s="165" t="e">
        <f t="shared" si="4"/>
        <v>#DIV/0!</v>
      </c>
      <c r="I32" s="215">
        <f t="shared" si="3"/>
        <v>0</v>
      </c>
      <c r="J32" s="6"/>
    </row>
    <row r="33" spans="1:10" ht="12.75">
      <c r="A33" s="131" t="s">
        <v>23</v>
      </c>
      <c r="B33" s="132"/>
      <c r="C33" s="77">
        <v>412900</v>
      </c>
      <c r="D33" s="93" t="s">
        <v>286</v>
      </c>
      <c r="E33" s="154">
        <v>2500</v>
      </c>
      <c r="F33" s="154">
        <f t="shared" si="5"/>
        <v>200</v>
      </c>
      <c r="G33" s="154">
        <v>2700</v>
      </c>
      <c r="H33" s="165">
        <f t="shared" si="4"/>
        <v>108</v>
      </c>
      <c r="I33" s="215">
        <f t="shared" si="3"/>
        <v>0.008432229856339788</v>
      </c>
      <c r="J33" s="6"/>
    </row>
    <row r="34" spans="1:10" ht="24" customHeight="1">
      <c r="A34" s="131" t="s">
        <v>23</v>
      </c>
      <c r="B34" s="132"/>
      <c r="C34" s="77">
        <v>412900</v>
      </c>
      <c r="D34" s="93" t="s">
        <v>457</v>
      </c>
      <c r="E34" s="152">
        <v>0</v>
      </c>
      <c r="F34" s="154">
        <f t="shared" si="5"/>
        <v>2000</v>
      </c>
      <c r="G34" s="152">
        <v>2000</v>
      </c>
      <c r="H34" s="165" t="e">
        <f t="shared" si="4"/>
        <v>#DIV/0!</v>
      </c>
      <c r="I34" s="215">
        <f t="shared" si="3"/>
        <v>0.006246096189881324</v>
      </c>
      <c r="J34" s="6"/>
    </row>
    <row r="35" spans="1:10" ht="24" customHeight="1">
      <c r="A35" s="131" t="s">
        <v>23</v>
      </c>
      <c r="B35" s="132"/>
      <c r="C35" s="77">
        <v>412900</v>
      </c>
      <c r="D35" s="93" t="s">
        <v>385</v>
      </c>
      <c r="E35" s="154">
        <v>54500</v>
      </c>
      <c r="F35" s="154">
        <f t="shared" si="5"/>
        <v>0</v>
      </c>
      <c r="G35" s="154">
        <v>54500</v>
      </c>
      <c r="H35" s="165">
        <f t="shared" si="4"/>
        <v>100</v>
      </c>
      <c r="I35" s="215">
        <f t="shared" si="3"/>
        <v>0.1702061211742661</v>
      </c>
      <c r="J35" s="6"/>
    </row>
    <row r="36" spans="1:10" ht="13.5" customHeight="1">
      <c r="A36" s="131" t="s">
        <v>23</v>
      </c>
      <c r="B36" s="132"/>
      <c r="C36" s="77">
        <v>412900</v>
      </c>
      <c r="D36" s="93" t="s">
        <v>481</v>
      </c>
      <c r="E36" s="154">
        <v>150</v>
      </c>
      <c r="F36" s="154">
        <f t="shared" si="5"/>
        <v>0</v>
      </c>
      <c r="G36" s="154">
        <v>150</v>
      </c>
      <c r="H36" s="165">
        <f t="shared" si="4"/>
        <v>100</v>
      </c>
      <c r="I36" s="215">
        <f>H36*1.1</f>
        <v>110.00000000000001</v>
      </c>
      <c r="J36" s="6"/>
    </row>
    <row r="37" spans="1:10" ht="9.75" customHeight="1">
      <c r="A37" s="131"/>
      <c r="B37" s="52">
        <v>416000</v>
      </c>
      <c r="C37" s="66"/>
      <c r="D37" s="143" t="s">
        <v>1</v>
      </c>
      <c r="E37" s="149">
        <f>SUM(E38)</f>
        <v>49310</v>
      </c>
      <c r="F37" s="149">
        <f>SUM(F38)</f>
        <v>27050</v>
      </c>
      <c r="G37" s="149">
        <f>SUM(G38)</f>
        <v>76360</v>
      </c>
      <c r="H37" s="144">
        <f t="shared" si="4"/>
        <v>154.8570269722166</v>
      </c>
      <c r="I37" s="146">
        <f>G37/$G$611*100</f>
        <v>0.23847595252966897</v>
      </c>
      <c r="J37" s="6"/>
    </row>
    <row r="38" spans="1:10" ht="15" customHeight="1">
      <c r="A38" s="131" t="s">
        <v>28</v>
      </c>
      <c r="B38" s="132"/>
      <c r="C38" s="77">
        <v>416100</v>
      </c>
      <c r="D38" s="93" t="s">
        <v>635</v>
      </c>
      <c r="E38" s="154">
        <v>49310</v>
      </c>
      <c r="F38" s="154">
        <f>G38-E38</f>
        <v>27050</v>
      </c>
      <c r="G38" s="154">
        <v>76360</v>
      </c>
      <c r="H38" s="165">
        <f t="shared" si="4"/>
        <v>154.8570269722166</v>
      </c>
      <c r="I38" s="215">
        <f>G38/$G$611*100</f>
        <v>0.23847595252966897</v>
      </c>
      <c r="J38" s="6"/>
    </row>
    <row r="39" spans="1:10" ht="24.75" customHeight="1">
      <c r="A39" s="507"/>
      <c r="B39" s="508"/>
      <c r="C39" s="501" t="s">
        <v>79</v>
      </c>
      <c r="D39" s="501"/>
      <c r="E39" s="167">
        <f>E24+E26+E37</f>
        <v>139060</v>
      </c>
      <c r="F39" s="167">
        <f>F24+F26+F37</f>
        <v>29050</v>
      </c>
      <c r="G39" s="167">
        <f>G24+G26+G37</f>
        <v>168110</v>
      </c>
      <c r="H39" s="357">
        <f t="shared" si="4"/>
        <v>120.89026319574285</v>
      </c>
      <c r="I39" s="422">
        <f>G39/$G$611*100</f>
        <v>0.5250156152404748</v>
      </c>
      <c r="J39" s="6"/>
    </row>
    <row r="40" spans="1:10" ht="12.75" customHeight="1">
      <c r="A40" s="169"/>
      <c r="B40" s="170"/>
      <c r="C40" s="503" t="s">
        <v>632</v>
      </c>
      <c r="D40" s="503"/>
      <c r="E40" s="171"/>
      <c r="F40" s="171"/>
      <c r="G40" s="171"/>
      <c r="H40" s="171"/>
      <c r="I40" s="172"/>
      <c r="J40" s="6"/>
    </row>
    <row r="41" spans="1:10" ht="12.75">
      <c r="A41" s="173"/>
      <c r="B41" s="174"/>
      <c r="C41" s="503"/>
      <c r="D41" s="503"/>
      <c r="E41" s="175"/>
      <c r="F41" s="175"/>
      <c r="G41" s="175"/>
      <c r="H41" s="175"/>
      <c r="I41" s="176"/>
      <c r="J41" s="6"/>
    </row>
    <row r="42" spans="1:10" ht="17.25" customHeight="1">
      <c r="A42" s="177"/>
      <c r="B42" s="178"/>
      <c r="C42" s="503"/>
      <c r="D42" s="503"/>
      <c r="E42" s="179"/>
      <c r="F42" s="179"/>
      <c r="G42" s="179"/>
      <c r="H42" s="179"/>
      <c r="I42" s="180"/>
      <c r="J42" s="6"/>
    </row>
    <row r="43" spans="1:10" ht="12.75">
      <c r="A43" s="129"/>
      <c r="B43" s="52">
        <v>412000</v>
      </c>
      <c r="C43" s="66"/>
      <c r="D43" s="143" t="s">
        <v>119</v>
      </c>
      <c r="E43" s="145">
        <f>SUM(E44:E49)</f>
        <v>23750</v>
      </c>
      <c r="F43" s="145">
        <f>SUM(F44:F49)</f>
        <v>900</v>
      </c>
      <c r="G43" s="145">
        <f>SUM(G44:G49)</f>
        <v>24650</v>
      </c>
      <c r="H43" s="145">
        <f>G43/E43*100</f>
        <v>103.78947368421052</v>
      </c>
      <c r="I43" s="181">
        <f aca="true" t="shared" si="6" ref="I43:I58">G43/$G$611*100</f>
        <v>0.07698313554028731</v>
      </c>
      <c r="J43" s="6"/>
    </row>
    <row r="44" spans="1:10" ht="25.5">
      <c r="A44" s="129" t="s">
        <v>54</v>
      </c>
      <c r="B44" s="52"/>
      <c r="C44" s="66">
        <v>412200</v>
      </c>
      <c r="D44" s="88" t="s">
        <v>121</v>
      </c>
      <c r="E44" s="152">
        <v>15000</v>
      </c>
      <c r="F44" s="152">
        <f aca="true" t="shared" si="7" ref="F44:F49">G44-E44</f>
        <v>3000</v>
      </c>
      <c r="G44" s="152">
        <v>18000</v>
      </c>
      <c r="H44" s="148">
        <f aca="true" t="shared" si="8" ref="H44:H58">G44/E44*100</f>
        <v>120</v>
      </c>
      <c r="I44" s="417">
        <f t="shared" si="6"/>
        <v>0.05621486570893192</v>
      </c>
      <c r="J44" s="6"/>
    </row>
    <row r="45" spans="1:10" ht="12.75">
      <c r="A45" s="129" t="s">
        <v>54</v>
      </c>
      <c r="B45" s="52"/>
      <c r="C45" s="66">
        <v>412300</v>
      </c>
      <c r="D45" s="132" t="s">
        <v>122</v>
      </c>
      <c r="E45" s="152">
        <v>1000</v>
      </c>
      <c r="F45" s="152">
        <f t="shared" si="7"/>
        <v>0</v>
      </c>
      <c r="G45" s="152">
        <v>1000</v>
      </c>
      <c r="H45" s="148">
        <f t="shared" si="8"/>
        <v>100</v>
      </c>
      <c r="I45" s="417">
        <f t="shared" si="6"/>
        <v>0.003123048094940662</v>
      </c>
      <c r="J45" s="6"/>
    </row>
    <row r="46" spans="1:10" ht="12.75">
      <c r="A46" s="129" t="s">
        <v>54</v>
      </c>
      <c r="B46" s="52"/>
      <c r="C46" s="66">
        <v>412400</v>
      </c>
      <c r="D46" s="88" t="s">
        <v>123</v>
      </c>
      <c r="E46" s="152">
        <v>1000</v>
      </c>
      <c r="F46" s="152">
        <f t="shared" si="7"/>
        <v>-700</v>
      </c>
      <c r="G46" s="152">
        <v>300</v>
      </c>
      <c r="H46" s="148">
        <f t="shared" si="8"/>
        <v>30</v>
      </c>
      <c r="I46" s="417">
        <f t="shared" si="6"/>
        <v>0.0009369144284821986</v>
      </c>
      <c r="J46" s="6"/>
    </row>
    <row r="47" spans="1:10" ht="12.75">
      <c r="A47" s="129" t="s">
        <v>54</v>
      </c>
      <c r="B47" s="52"/>
      <c r="C47" s="132">
        <v>412700</v>
      </c>
      <c r="D47" s="132" t="s">
        <v>126</v>
      </c>
      <c r="E47" s="152">
        <v>3000</v>
      </c>
      <c r="F47" s="152">
        <f t="shared" si="7"/>
        <v>150</v>
      </c>
      <c r="G47" s="152">
        <v>3150</v>
      </c>
      <c r="H47" s="148">
        <f t="shared" si="8"/>
        <v>105</v>
      </c>
      <c r="I47" s="417">
        <f t="shared" si="6"/>
        <v>0.009837601499063086</v>
      </c>
      <c r="J47" s="6"/>
    </row>
    <row r="48" spans="1:10" ht="12.75">
      <c r="A48" s="129" t="s">
        <v>54</v>
      </c>
      <c r="B48" s="52"/>
      <c r="C48" s="132">
        <v>412900</v>
      </c>
      <c r="D48" s="132" t="s">
        <v>0</v>
      </c>
      <c r="E48" s="152">
        <v>400</v>
      </c>
      <c r="F48" s="152">
        <f t="shared" si="7"/>
        <v>0</v>
      </c>
      <c r="G48" s="152">
        <v>400</v>
      </c>
      <c r="H48" s="148">
        <f t="shared" si="8"/>
        <v>100</v>
      </c>
      <c r="I48" s="417">
        <f t="shared" si="6"/>
        <v>0.0012492192379762648</v>
      </c>
      <c r="J48" s="6"/>
    </row>
    <row r="49" spans="1:10" ht="12.75">
      <c r="A49" s="129" t="s">
        <v>54</v>
      </c>
      <c r="B49" s="52"/>
      <c r="C49" s="132">
        <v>412900</v>
      </c>
      <c r="D49" s="132" t="s">
        <v>128</v>
      </c>
      <c r="E49" s="154">
        <v>3350</v>
      </c>
      <c r="F49" s="152">
        <f t="shared" si="7"/>
        <v>-1550</v>
      </c>
      <c r="G49" s="154">
        <v>1800</v>
      </c>
      <c r="H49" s="148">
        <f t="shared" si="8"/>
        <v>53.73134328358209</v>
      </c>
      <c r="I49" s="417">
        <f t="shared" si="6"/>
        <v>0.005621486570893191</v>
      </c>
      <c r="J49" s="6"/>
    </row>
    <row r="50" spans="1:10" ht="12.75">
      <c r="A50" s="129"/>
      <c r="B50" s="52">
        <v>415000</v>
      </c>
      <c r="C50" s="132"/>
      <c r="D50" s="155" t="s">
        <v>133</v>
      </c>
      <c r="E50" s="183">
        <f>SUM(E51:E51)</f>
        <v>1000</v>
      </c>
      <c r="F50" s="183">
        <f>SUM(F51:F51)</f>
        <v>0</v>
      </c>
      <c r="G50" s="183">
        <f>SUM(G51:G51)</f>
        <v>1000</v>
      </c>
      <c r="H50" s="145">
        <f t="shared" si="8"/>
        <v>100</v>
      </c>
      <c r="I50" s="181">
        <f t="shared" si="6"/>
        <v>0.003123048094940662</v>
      </c>
      <c r="J50" s="6"/>
    </row>
    <row r="51" spans="1:10" ht="14.25" customHeight="1">
      <c r="A51" s="129" t="s">
        <v>54</v>
      </c>
      <c r="B51" s="52"/>
      <c r="C51" s="132">
        <v>415200</v>
      </c>
      <c r="D51" s="88" t="s">
        <v>284</v>
      </c>
      <c r="E51" s="154">
        <v>1000</v>
      </c>
      <c r="F51" s="154">
        <f>G51-E51</f>
        <v>0</v>
      </c>
      <c r="G51" s="154">
        <v>1000</v>
      </c>
      <c r="H51" s="148">
        <f t="shared" si="8"/>
        <v>100</v>
      </c>
      <c r="I51" s="417">
        <f t="shared" si="6"/>
        <v>0.003123048094940662</v>
      </c>
      <c r="J51" s="6"/>
    </row>
    <row r="52" spans="1:10" ht="26.25" customHeight="1">
      <c r="A52" s="129"/>
      <c r="B52" s="52"/>
      <c r="C52" s="66"/>
      <c r="D52" s="143" t="s">
        <v>478</v>
      </c>
      <c r="E52" s="183">
        <f>SUM(E53:E57)</f>
        <v>248000</v>
      </c>
      <c r="F52" s="183">
        <f>SUM(F53:F57)</f>
        <v>-189200</v>
      </c>
      <c r="G52" s="183">
        <f>SUM(G53:G57)</f>
        <v>58800</v>
      </c>
      <c r="H52" s="145">
        <f t="shared" si="8"/>
        <v>23.70967741935484</v>
      </c>
      <c r="I52" s="181">
        <f t="shared" si="6"/>
        <v>0.18363522798251095</v>
      </c>
      <c r="J52" s="6"/>
    </row>
    <row r="53" spans="1:10" ht="12.75">
      <c r="A53" s="129" t="s">
        <v>54</v>
      </c>
      <c r="B53" s="52"/>
      <c r="C53" s="66">
        <v>412500</v>
      </c>
      <c r="D53" s="88" t="s">
        <v>124</v>
      </c>
      <c r="E53" s="154">
        <v>10000</v>
      </c>
      <c r="F53" s="154">
        <f>G53-E53</f>
        <v>0</v>
      </c>
      <c r="G53" s="154">
        <v>10000</v>
      </c>
      <c r="H53" s="148">
        <f t="shared" si="8"/>
        <v>100</v>
      </c>
      <c r="I53" s="417">
        <f t="shared" si="6"/>
        <v>0.03123048094940662</v>
      </c>
      <c r="J53" s="6"/>
    </row>
    <row r="54" spans="1:10" ht="27" customHeight="1">
      <c r="A54" s="129" t="s">
        <v>54</v>
      </c>
      <c r="B54" s="52"/>
      <c r="C54" s="66">
        <v>511200</v>
      </c>
      <c r="D54" s="125" t="s">
        <v>147</v>
      </c>
      <c r="E54" s="154">
        <v>5000</v>
      </c>
      <c r="F54" s="154">
        <f>G54-E54</f>
        <v>-3800</v>
      </c>
      <c r="G54" s="154">
        <v>1200</v>
      </c>
      <c r="H54" s="148">
        <f t="shared" si="8"/>
        <v>24</v>
      </c>
      <c r="I54" s="417">
        <f t="shared" si="6"/>
        <v>0.0037476577139287943</v>
      </c>
      <c r="J54" s="6"/>
    </row>
    <row r="55" spans="1:10" ht="12.75">
      <c r="A55" s="129" t="s">
        <v>54</v>
      </c>
      <c r="B55" s="52"/>
      <c r="C55" s="66">
        <v>511300</v>
      </c>
      <c r="D55" s="93" t="s">
        <v>2</v>
      </c>
      <c r="E55" s="154">
        <v>208000</v>
      </c>
      <c r="F55" s="154">
        <f>G55-E55</f>
        <v>-175500</v>
      </c>
      <c r="G55" s="154">
        <v>32500</v>
      </c>
      <c r="H55" s="148">
        <f t="shared" si="8"/>
        <v>15.625</v>
      </c>
      <c r="I55" s="417">
        <f t="shared" si="6"/>
        <v>0.10149906308557152</v>
      </c>
      <c r="J55" s="6"/>
    </row>
    <row r="56" spans="1:10" ht="12.75">
      <c r="A56" s="136" t="s">
        <v>54</v>
      </c>
      <c r="B56" s="52"/>
      <c r="C56" s="66">
        <v>511400</v>
      </c>
      <c r="D56" s="93" t="s">
        <v>290</v>
      </c>
      <c r="E56" s="152">
        <v>10000</v>
      </c>
      <c r="F56" s="154">
        <f>G56-E56</f>
        <v>-6500</v>
      </c>
      <c r="G56" s="152">
        <v>3500</v>
      </c>
      <c r="H56" s="148">
        <f t="shared" si="8"/>
        <v>35</v>
      </c>
      <c r="I56" s="417">
        <f t="shared" si="6"/>
        <v>0.010930668332292318</v>
      </c>
      <c r="J56" s="6"/>
    </row>
    <row r="57" spans="1:10" ht="12.75">
      <c r="A57" s="136" t="s">
        <v>54</v>
      </c>
      <c r="B57" s="52"/>
      <c r="C57" s="66">
        <v>516100</v>
      </c>
      <c r="D57" s="93" t="s">
        <v>239</v>
      </c>
      <c r="E57" s="152">
        <v>15000</v>
      </c>
      <c r="F57" s="154">
        <f>G57-E57</f>
        <v>-3400</v>
      </c>
      <c r="G57" s="152">
        <v>11600</v>
      </c>
      <c r="H57" s="148">
        <f t="shared" si="8"/>
        <v>77.33333333333333</v>
      </c>
      <c r="I57" s="417">
        <f t="shared" si="6"/>
        <v>0.03622735790131168</v>
      </c>
      <c r="J57" s="6"/>
    </row>
    <row r="58" spans="1:10" ht="26.25" customHeight="1">
      <c r="A58" s="507"/>
      <c r="B58" s="508"/>
      <c r="C58" s="501" t="s">
        <v>265</v>
      </c>
      <c r="D58" s="505"/>
      <c r="E58" s="167">
        <f>E43+E50+E52</f>
        <v>272750</v>
      </c>
      <c r="F58" s="167">
        <f>F43+F50+F52</f>
        <v>-188300</v>
      </c>
      <c r="G58" s="167">
        <f>G43+G50+G52</f>
        <v>84450</v>
      </c>
      <c r="H58" s="382">
        <f t="shared" si="8"/>
        <v>30.962419798350137</v>
      </c>
      <c r="I58" s="358">
        <f t="shared" si="6"/>
        <v>0.2637414116177389</v>
      </c>
      <c r="J58" s="6"/>
    </row>
    <row r="59" spans="1:10" ht="12.75">
      <c r="A59" s="528"/>
      <c r="B59" s="529"/>
      <c r="C59" s="503" t="s">
        <v>581</v>
      </c>
      <c r="D59" s="503"/>
      <c r="E59" s="186"/>
      <c r="F59" s="186"/>
      <c r="G59" s="186"/>
      <c r="H59" s="186"/>
      <c r="I59" s="187"/>
      <c r="J59" s="8"/>
    </row>
    <row r="60" spans="1:10" ht="12.75">
      <c r="A60" s="530"/>
      <c r="B60" s="531"/>
      <c r="C60" s="503"/>
      <c r="D60" s="503"/>
      <c r="E60" s="188"/>
      <c r="F60" s="188"/>
      <c r="G60" s="188"/>
      <c r="H60" s="188"/>
      <c r="I60" s="189"/>
      <c r="J60" s="8"/>
    </row>
    <row r="61" spans="1:10" ht="16.5" customHeight="1">
      <c r="A61" s="532"/>
      <c r="B61" s="533"/>
      <c r="C61" s="503"/>
      <c r="D61" s="503"/>
      <c r="E61" s="188"/>
      <c r="F61" s="188"/>
      <c r="G61" s="188"/>
      <c r="H61" s="188"/>
      <c r="I61" s="189"/>
      <c r="J61" s="8"/>
    </row>
    <row r="62" spans="1:10" ht="12.75">
      <c r="A62" s="129"/>
      <c r="B62" s="190" t="s">
        <v>353</v>
      </c>
      <c r="C62" s="191"/>
      <c r="D62" s="192" t="s">
        <v>119</v>
      </c>
      <c r="E62" s="183">
        <f>SUM(E63:E65)</f>
        <v>4000</v>
      </c>
      <c r="F62" s="183">
        <f>SUM(F63:F65)</f>
        <v>0</v>
      </c>
      <c r="G62" s="183">
        <f>SUM(G63:G65)</f>
        <v>4000</v>
      </c>
      <c r="H62" s="183">
        <f>G62/E62*100</f>
        <v>100</v>
      </c>
      <c r="I62" s="150">
        <f aca="true" t="shared" si="9" ref="I62:I71">G62/$G$611*100</f>
        <v>0.012492192379762648</v>
      </c>
      <c r="J62" s="8"/>
    </row>
    <row r="63" spans="1:10" ht="12.75">
      <c r="A63" s="129" t="s">
        <v>54</v>
      </c>
      <c r="B63" s="52"/>
      <c r="C63" s="77">
        <v>412900</v>
      </c>
      <c r="D63" s="88" t="s">
        <v>269</v>
      </c>
      <c r="E63" s="148">
        <v>2000</v>
      </c>
      <c r="F63" s="148">
        <f>G63-E63</f>
        <v>0</v>
      </c>
      <c r="G63" s="148">
        <v>2000</v>
      </c>
      <c r="H63" s="194">
        <f aca="true" t="shared" si="10" ref="H63:H71">G63/E63*100</f>
        <v>100</v>
      </c>
      <c r="I63" s="70">
        <f t="shared" si="9"/>
        <v>0.006246096189881324</v>
      </c>
      <c r="J63" s="8"/>
    </row>
    <row r="64" spans="1:10" ht="23.25" customHeight="1">
      <c r="A64" s="129" t="s">
        <v>54</v>
      </c>
      <c r="B64" s="52"/>
      <c r="C64" s="77">
        <v>412900</v>
      </c>
      <c r="D64" s="88" t="s">
        <v>297</v>
      </c>
      <c r="E64" s="148">
        <v>2000</v>
      </c>
      <c r="F64" s="148">
        <f>G64-E64</f>
        <v>0</v>
      </c>
      <c r="G64" s="148">
        <v>2000</v>
      </c>
      <c r="H64" s="194">
        <f t="shared" si="10"/>
        <v>100</v>
      </c>
      <c r="I64" s="70">
        <f t="shared" si="9"/>
        <v>0.006246096189881324</v>
      </c>
      <c r="J64" s="8"/>
    </row>
    <row r="65" spans="1:10" ht="0.75" customHeight="1" hidden="1">
      <c r="A65" s="129" t="s">
        <v>54</v>
      </c>
      <c r="B65" s="52"/>
      <c r="C65" s="77">
        <v>412900</v>
      </c>
      <c r="D65" s="88" t="s">
        <v>438</v>
      </c>
      <c r="E65" s="195">
        <v>0</v>
      </c>
      <c r="F65" s="195">
        <v>0</v>
      </c>
      <c r="G65" s="195">
        <v>0</v>
      </c>
      <c r="H65" s="183" t="e">
        <f t="shared" si="10"/>
        <v>#DIV/0!</v>
      </c>
      <c r="I65" s="150">
        <f t="shared" si="9"/>
        <v>0</v>
      </c>
      <c r="J65" s="8"/>
    </row>
    <row r="66" spans="1:10" ht="12.75">
      <c r="A66" s="129"/>
      <c r="B66" s="52">
        <v>416000</v>
      </c>
      <c r="C66" s="77"/>
      <c r="D66" s="143" t="s">
        <v>1</v>
      </c>
      <c r="E66" s="183">
        <f>SUM(E67:E68)</f>
        <v>5000</v>
      </c>
      <c r="F66" s="183">
        <f>SUM(F67:F68)</f>
        <v>-1000</v>
      </c>
      <c r="G66" s="183">
        <f>SUM(G67:G68)</f>
        <v>4000</v>
      </c>
      <c r="H66" s="183">
        <f t="shared" si="10"/>
        <v>80</v>
      </c>
      <c r="I66" s="150">
        <f t="shared" si="9"/>
        <v>0.012492192379762648</v>
      </c>
      <c r="J66" s="8"/>
    </row>
    <row r="67" spans="1:10" ht="13.5" customHeight="1">
      <c r="A67" s="129" t="s">
        <v>54</v>
      </c>
      <c r="B67" s="52"/>
      <c r="C67" s="77">
        <v>416100</v>
      </c>
      <c r="D67" s="88" t="s">
        <v>194</v>
      </c>
      <c r="E67" s="196">
        <v>5000</v>
      </c>
      <c r="F67" s="196">
        <f>G67-E67</f>
        <v>-1000</v>
      </c>
      <c r="G67" s="196">
        <v>4000</v>
      </c>
      <c r="H67" s="194">
        <f t="shared" si="10"/>
        <v>80</v>
      </c>
      <c r="I67" s="70">
        <f t="shared" si="9"/>
        <v>0.012492192379762648</v>
      </c>
      <c r="J67" s="8"/>
    </row>
    <row r="68" spans="1:10" ht="19.5" customHeight="1" hidden="1">
      <c r="A68" s="129" t="s">
        <v>54</v>
      </c>
      <c r="B68" s="52"/>
      <c r="C68" s="77">
        <v>416100</v>
      </c>
      <c r="D68" s="88" t="s">
        <v>441</v>
      </c>
      <c r="E68" s="196">
        <v>0</v>
      </c>
      <c r="F68" s="196">
        <v>0</v>
      </c>
      <c r="G68" s="196">
        <v>0</v>
      </c>
      <c r="H68" s="183" t="e">
        <f t="shared" si="10"/>
        <v>#DIV/0!</v>
      </c>
      <c r="I68" s="150">
        <f t="shared" si="9"/>
        <v>0</v>
      </c>
      <c r="J68" s="8"/>
    </row>
    <row r="69" spans="1:10" ht="12.75">
      <c r="A69" s="129"/>
      <c r="B69" s="52">
        <v>511000</v>
      </c>
      <c r="C69" s="77"/>
      <c r="D69" s="143" t="s">
        <v>137</v>
      </c>
      <c r="E69" s="183">
        <f>SUM(E70)</f>
        <v>8000</v>
      </c>
      <c r="F69" s="183">
        <f>SUM(F70)</f>
        <v>0</v>
      </c>
      <c r="G69" s="183">
        <f>SUM(G70)</f>
        <v>8000</v>
      </c>
      <c r="H69" s="183">
        <f t="shared" si="10"/>
        <v>100</v>
      </c>
      <c r="I69" s="150">
        <f t="shared" si="9"/>
        <v>0.024984384759525295</v>
      </c>
      <c r="J69" s="8"/>
    </row>
    <row r="70" spans="1:10" ht="12.75">
      <c r="A70" s="129" t="s">
        <v>54</v>
      </c>
      <c r="B70" s="52"/>
      <c r="C70" s="77">
        <v>511300</v>
      </c>
      <c r="D70" s="88" t="s">
        <v>270</v>
      </c>
      <c r="E70" s="196">
        <v>8000</v>
      </c>
      <c r="F70" s="196">
        <f>G70-E70</f>
        <v>0</v>
      </c>
      <c r="G70" s="196">
        <v>8000</v>
      </c>
      <c r="H70" s="194">
        <f t="shared" si="10"/>
        <v>100</v>
      </c>
      <c r="I70" s="70">
        <f t="shared" si="9"/>
        <v>0.024984384759525295</v>
      </c>
      <c r="J70" s="8"/>
    </row>
    <row r="71" spans="1:10" ht="28.5" customHeight="1">
      <c r="A71" s="507"/>
      <c r="B71" s="508"/>
      <c r="C71" s="501" t="s">
        <v>436</v>
      </c>
      <c r="D71" s="501"/>
      <c r="E71" s="167">
        <f>E62+E66+E69</f>
        <v>17000</v>
      </c>
      <c r="F71" s="167">
        <f>F62+F66+F69</f>
        <v>-1000</v>
      </c>
      <c r="G71" s="167">
        <f>G62+G66+G69</f>
        <v>16000</v>
      </c>
      <c r="H71" s="383">
        <f t="shared" si="10"/>
        <v>94.11764705882352</v>
      </c>
      <c r="I71" s="423">
        <f t="shared" si="9"/>
        <v>0.04996876951905059</v>
      </c>
      <c r="J71" s="8"/>
    </row>
    <row r="72" spans="1:10" ht="9.75" customHeight="1">
      <c r="A72" s="507"/>
      <c r="B72" s="508"/>
      <c r="C72" s="503" t="s">
        <v>580</v>
      </c>
      <c r="D72" s="503"/>
      <c r="E72" s="197"/>
      <c r="F72" s="197"/>
      <c r="G72" s="197"/>
      <c r="H72" s="197"/>
      <c r="I72" s="198"/>
      <c r="J72" s="6"/>
    </row>
    <row r="73" spans="1:10" ht="9.75" customHeight="1">
      <c r="A73" s="507"/>
      <c r="B73" s="508"/>
      <c r="C73" s="503"/>
      <c r="D73" s="503"/>
      <c r="E73" s="199"/>
      <c r="F73" s="199"/>
      <c r="G73" s="199"/>
      <c r="H73" s="199"/>
      <c r="I73" s="200"/>
      <c r="J73" s="6"/>
    </row>
    <row r="74" spans="1:10" ht="17.25" customHeight="1">
      <c r="A74" s="507"/>
      <c r="B74" s="508"/>
      <c r="C74" s="503"/>
      <c r="D74" s="503"/>
      <c r="E74" s="201"/>
      <c r="F74" s="201"/>
      <c r="G74" s="201"/>
      <c r="H74" s="201"/>
      <c r="I74" s="202"/>
      <c r="J74" s="6"/>
    </row>
    <row r="75" spans="1:10" ht="14.25" customHeight="1">
      <c r="A75" s="129"/>
      <c r="B75" s="52">
        <v>412000</v>
      </c>
      <c r="C75" s="59"/>
      <c r="D75" s="143" t="s">
        <v>119</v>
      </c>
      <c r="E75" s="145">
        <f>SUM(E76:E82)</f>
        <v>52350</v>
      </c>
      <c r="F75" s="145">
        <f>SUM(F76:F82)</f>
        <v>3000</v>
      </c>
      <c r="G75" s="145">
        <f>SUM(G76:G82)</f>
        <v>55350</v>
      </c>
      <c r="H75" s="145">
        <f>G75/E75*100</f>
        <v>105.73065902578797</v>
      </c>
      <c r="I75" s="146">
        <f aca="true" t="shared" si="11" ref="I75:I88">G75/$G$611*100</f>
        <v>0.17286071205496564</v>
      </c>
      <c r="J75" s="6"/>
    </row>
    <row r="76" spans="1:10" ht="12.75" customHeight="1">
      <c r="A76" s="129" t="s">
        <v>23</v>
      </c>
      <c r="B76" s="132"/>
      <c r="C76" s="66">
        <v>412700</v>
      </c>
      <c r="D76" s="132" t="s">
        <v>143</v>
      </c>
      <c r="E76" s="152">
        <v>7200</v>
      </c>
      <c r="F76" s="152">
        <f aca="true" t="shared" si="12" ref="F76:F82">G76-E76</f>
        <v>0</v>
      </c>
      <c r="G76" s="152">
        <v>7200</v>
      </c>
      <c r="H76" s="148">
        <f aca="true" t="shared" si="13" ref="H76:H88">G76/E76*100</f>
        <v>100</v>
      </c>
      <c r="I76" s="215">
        <f t="shared" si="11"/>
        <v>0.022485946283572766</v>
      </c>
      <c r="J76" s="6"/>
    </row>
    <row r="77" spans="1:10" ht="12.75" customHeight="1">
      <c r="A77" s="129" t="s">
        <v>32</v>
      </c>
      <c r="B77" s="132"/>
      <c r="C77" s="66">
        <v>412700</v>
      </c>
      <c r="D77" s="132" t="s">
        <v>105</v>
      </c>
      <c r="E77" s="152">
        <v>12100</v>
      </c>
      <c r="F77" s="152">
        <f t="shared" si="12"/>
        <v>0</v>
      </c>
      <c r="G77" s="152">
        <v>12100</v>
      </c>
      <c r="H77" s="148">
        <f t="shared" si="13"/>
        <v>100</v>
      </c>
      <c r="I77" s="215">
        <f t="shared" si="11"/>
        <v>0.03778888194878201</v>
      </c>
      <c r="J77" s="6"/>
    </row>
    <row r="78" spans="1:10" ht="12.75" customHeight="1">
      <c r="A78" s="129" t="s">
        <v>23</v>
      </c>
      <c r="B78" s="132"/>
      <c r="C78" s="66">
        <v>412900</v>
      </c>
      <c r="D78" s="88" t="s">
        <v>0</v>
      </c>
      <c r="E78" s="152">
        <v>300</v>
      </c>
      <c r="F78" s="152">
        <f t="shared" si="12"/>
        <v>0</v>
      </c>
      <c r="G78" s="152">
        <v>300</v>
      </c>
      <c r="H78" s="148">
        <f t="shared" si="13"/>
        <v>100</v>
      </c>
      <c r="I78" s="215">
        <f t="shared" si="11"/>
        <v>0.0009369144284821986</v>
      </c>
      <c r="J78" s="6"/>
    </row>
    <row r="79" spans="1:10" ht="12.75" customHeight="1">
      <c r="A79" s="129" t="s">
        <v>23</v>
      </c>
      <c r="B79" s="132"/>
      <c r="C79" s="66">
        <v>412900</v>
      </c>
      <c r="D79" s="93" t="s">
        <v>181</v>
      </c>
      <c r="E79" s="152">
        <v>11100</v>
      </c>
      <c r="F79" s="152">
        <f t="shared" si="12"/>
        <v>0</v>
      </c>
      <c r="G79" s="152">
        <v>11100</v>
      </c>
      <c r="H79" s="148">
        <f t="shared" si="13"/>
        <v>100</v>
      </c>
      <c r="I79" s="215">
        <f t="shared" si="11"/>
        <v>0.03466583385384135</v>
      </c>
      <c r="J79" s="6"/>
    </row>
    <row r="80" spans="1:10" ht="14.25" customHeight="1">
      <c r="A80" s="129" t="s">
        <v>23</v>
      </c>
      <c r="B80" s="132"/>
      <c r="C80" s="205">
        <v>412900</v>
      </c>
      <c r="D80" s="93" t="s">
        <v>444</v>
      </c>
      <c r="E80" s="152">
        <v>20000</v>
      </c>
      <c r="F80" s="152">
        <f t="shared" si="12"/>
        <v>0</v>
      </c>
      <c r="G80" s="152">
        <v>20000</v>
      </c>
      <c r="H80" s="148">
        <f t="shared" si="13"/>
        <v>100</v>
      </c>
      <c r="I80" s="215">
        <f t="shared" si="11"/>
        <v>0.06246096189881324</v>
      </c>
      <c r="J80" s="6"/>
    </row>
    <row r="81" spans="1:10" ht="14.25" customHeight="1">
      <c r="A81" s="129" t="s">
        <v>23</v>
      </c>
      <c r="B81" s="132"/>
      <c r="C81" s="205">
        <v>412900</v>
      </c>
      <c r="D81" s="93" t="s">
        <v>128</v>
      </c>
      <c r="E81" s="152">
        <v>1650</v>
      </c>
      <c r="F81" s="152">
        <f t="shared" si="12"/>
        <v>0</v>
      </c>
      <c r="G81" s="152">
        <v>1650</v>
      </c>
      <c r="H81" s="148">
        <f t="shared" si="13"/>
        <v>100</v>
      </c>
      <c r="I81" s="215">
        <f t="shared" si="11"/>
        <v>0.005153029356652092</v>
      </c>
      <c r="J81" s="6"/>
    </row>
    <row r="82" spans="1:10" ht="19.5" customHeight="1">
      <c r="A82" s="129" t="s">
        <v>23</v>
      </c>
      <c r="B82" s="132"/>
      <c r="C82" s="205">
        <v>415200</v>
      </c>
      <c r="D82" s="93" t="s">
        <v>718</v>
      </c>
      <c r="E82" s="152">
        <v>0</v>
      </c>
      <c r="F82" s="152">
        <f t="shared" si="12"/>
        <v>3000</v>
      </c>
      <c r="G82" s="152">
        <v>3000</v>
      </c>
      <c r="H82" s="148" t="e">
        <f t="shared" si="13"/>
        <v>#DIV/0!</v>
      </c>
      <c r="I82" s="215">
        <f t="shared" si="11"/>
        <v>0.009369144284821987</v>
      </c>
      <c r="J82" s="6"/>
    </row>
    <row r="83" spans="1:10" ht="14.25" customHeight="1">
      <c r="A83" s="129"/>
      <c r="B83" s="132"/>
      <c r="C83" s="66"/>
      <c r="D83" s="92" t="s">
        <v>117</v>
      </c>
      <c r="E83" s="183">
        <f>SUM(E84:E87)</f>
        <v>12210.6</v>
      </c>
      <c r="F83" s="183">
        <f>SUM(F84:F87)</f>
        <v>-2500</v>
      </c>
      <c r="G83" s="183">
        <f>SUM(G84:G87)</f>
        <v>9710.6</v>
      </c>
      <c r="H83" s="145">
        <f t="shared" si="13"/>
        <v>79.52598561905229</v>
      </c>
      <c r="I83" s="146">
        <f t="shared" si="11"/>
        <v>0.030326670830730793</v>
      </c>
      <c r="J83" s="6"/>
    </row>
    <row r="84" spans="1:10" ht="14.25" customHeight="1">
      <c r="A84" s="129" t="s">
        <v>35</v>
      </c>
      <c r="B84" s="132"/>
      <c r="C84" s="66">
        <v>412300</v>
      </c>
      <c r="D84" s="93" t="s">
        <v>232</v>
      </c>
      <c r="E84" s="152">
        <v>1000</v>
      </c>
      <c r="F84" s="152">
        <f>G84-E84</f>
        <v>0</v>
      </c>
      <c r="G84" s="152">
        <v>1000</v>
      </c>
      <c r="H84" s="148">
        <f t="shared" si="13"/>
        <v>100</v>
      </c>
      <c r="I84" s="215">
        <f t="shared" si="11"/>
        <v>0.003123048094940662</v>
      </c>
      <c r="J84" s="6"/>
    </row>
    <row r="85" spans="1:10" ht="13.5" customHeight="1">
      <c r="A85" s="131" t="s">
        <v>35</v>
      </c>
      <c r="B85" s="203"/>
      <c r="C85" s="97">
        <v>412500</v>
      </c>
      <c r="D85" s="93" t="s">
        <v>225</v>
      </c>
      <c r="E85" s="154">
        <v>6200</v>
      </c>
      <c r="F85" s="152">
        <f>G85-E85</f>
        <v>-2000</v>
      </c>
      <c r="G85" s="154">
        <v>4200</v>
      </c>
      <c r="H85" s="148">
        <f t="shared" si="13"/>
        <v>67.74193548387096</v>
      </c>
      <c r="I85" s="215">
        <f t="shared" si="11"/>
        <v>0.013116801998750779</v>
      </c>
      <c r="J85" s="8"/>
    </row>
    <row r="86" spans="1:10" ht="12.75" customHeight="1">
      <c r="A86" s="129" t="s">
        <v>35</v>
      </c>
      <c r="B86" s="132"/>
      <c r="C86" s="66">
        <v>412900</v>
      </c>
      <c r="D86" s="93" t="s">
        <v>226</v>
      </c>
      <c r="E86" s="154">
        <v>4000</v>
      </c>
      <c r="F86" s="152">
        <f>G86-E86</f>
        <v>-500</v>
      </c>
      <c r="G86" s="154">
        <v>3500</v>
      </c>
      <c r="H86" s="148">
        <f t="shared" si="13"/>
        <v>87.5</v>
      </c>
      <c r="I86" s="215">
        <f t="shared" si="11"/>
        <v>0.010930668332292318</v>
      </c>
      <c r="J86" s="6"/>
    </row>
    <row r="87" spans="1:10" ht="24" customHeight="1">
      <c r="A87" s="129" t="s">
        <v>35</v>
      </c>
      <c r="B87" s="132"/>
      <c r="C87" s="66">
        <v>412900</v>
      </c>
      <c r="D87" s="93" t="s">
        <v>674</v>
      </c>
      <c r="E87" s="154">
        <v>1010.6</v>
      </c>
      <c r="F87" s="152">
        <f>G87-E87</f>
        <v>0</v>
      </c>
      <c r="G87" s="154">
        <v>1010.6</v>
      </c>
      <c r="H87" s="148">
        <f t="shared" si="13"/>
        <v>100</v>
      </c>
      <c r="I87" s="215">
        <f t="shared" si="11"/>
        <v>0.0031561524047470334</v>
      </c>
      <c r="J87" s="6"/>
    </row>
    <row r="88" spans="1:10" ht="25.5" customHeight="1">
      <c r="A88" s="515"/>
      <c r="B88" s="516"/>
      <c r="C88" s="501" t="s">
        <v>80</v>
      </c>
      <c r="D88" s="505"/>
      <c r="E88" s="167">
        <f>E75+E83</f>
        <v>64560.6</v>
      </c>
      <c r="F88" s="167">
        <f>F75+F83</f>
        <v>500</v>
      </c>
      <c r="G88" s="167">
        <f>G75+G83</f>
        <v>65060.6</v>
      </c>
      <c r="H88" s="382">
        <f t="shared" si="13"/>
        <v>100.77446616047558</v>
      </c>
      <c r="I88" s="422">
        <f t="shared" si="11"/>
        <v>0.20318738288569643</v>
      </c>
      <c r="J88" s="6"/>
    </row>
    <row r="89" spans="1:10" ht="9.75" customHeight="1">
      <c r="A89" s="507"/>
      <c r="B89" s="508"/>
      <c r="C89" s="503" t="s">
        <v>579</v>
      </c>
      <c r="D89" s="503"/>
      <c r="E89" s="197"/>
      <c r="F89" s="197"/>
      <c r="G89" s="197"/>
      <c r="H89" s="197"/>
      <c r="I89" s="198"/>
      <c r="J89" s="6"/>
    </row>
    <row r="90" spans="1:10" ht="9.75" customHeight="1">
      <c r="A90" s="507"/>
      <c r="B90" s="508"/>
      <c r="C90" s="503"/>
      <c r="D90" s="503"/>
      <c r="E90" s="199"/>
      <c r="F90" s="199"/>
      <c r="G90" s="199"/>
      <c r="H90" s="199"/>
      <c r="I90" s="200"/>
      <c r="J90" s="6"/>
    </row>
    <row r="91" spans="1:10" ht="18.75" customHeight="1">
      <c r="A91" s="507"/>
      <c r="B91" s="508"/>
      <c r="C91" s="503"/>
      <c r="D91" s="503"/>
      <c r="E91" s="201"/>
      <c r="F91" s="201"/>
      <c r="G91" s="201"/>
      <c r="H91" s="201"/>
      <c r="I91" s="202"/>
      <c r="J91" s="6"/>
    </row>
    <row r="92" spans="1:10" ht="16.5" customHeight="1">
      <c r="A92" s="129"/>
      <c r="B92" s="52">
        <v>411000</v>
      </c>
      <c r="C92" s="204"/>
      <c r="D92" s="71" t="s">
        <v>262</v>
      </c>
      <c r="E92" s="144">
        <f>SUM(E93:E96)</f>
        <v>4369490</v>
      </c>
      <c r="F92" s="144">
        <f>SUM(F93:F96)</f>
        <v>15000</v>
      </c>
      <c r="G92" s="144">
        <f>SUM(G93:G96)</f>
        <v>4384490</v>
      </c>
      <c r="H92" s="145">
        <f>G92/E92*100</f>
        <v>100.34328949145095</v>
      </c>
      <c r="I92" s="146">
        <f aca="true" t="shared" si="14" ref="I92:I106">G92/$G$611*100</f>
        <v>13.692973141786382</v>
      </c>
      <c r="J92" s="6"/>
    </row>
    <row r="93" spans="1:10" ht="12.75" customHeight="1">
      <c r="A93" s="129" t="s">
        <v>23</v>
      </c>
      <c r="B93" s="132"/>
      <c r="C93" s="66">
        <v>411100</v>
      </c>
      <c r="D93" s="72" t="s">
        <v>317</v>
      </c>
      <c r="E93" s="196">
        <v>3211000</v>
      </c>
      <c r="F93" s="196">
        <f>G93-E93</f>
        <v>0</v>
      </c>
      <c r="G93" s="196">
        <v>3211000</v>
      </c>
      <c r="H93" s="148">
        <f aca="true" t="shared" si="15" ref="H93:H106">G93/E93*100</f>
        <v>100</v>
      </c>
      <c r="I93" s="215">
        <f t="shared" si="14"/>
        <v>10.028107432854465</v>
      </c>
      <c r="J93" s="330"/>
    </row>
    <row r="94" spans="1:10" ht="26.25" customHeight="1">
      <c r="A94" s="129" t="s">
        <v>23</v>
      </c>
      <c r="B94" s="132"/>
      <c r="C94" s="66">
        <v>411200</v>
      </c>
      <c r="D94" s="72" t="s">
        <v>322</v>
      </c>
      <c r="E94" s="154">
        <v>908000</v>
      </c>
      <c r="F94" s="196">
        <f>G94-E94</f>
        <v>0</v>
      </c>
      <c r="G94" s="154">
        <v>908000</v>
      </c>
      <c r="H94" s="148">
        <f t="shared" si="15"/>
        <v>100</v>
      </c>
      <c r="I94" s="215">
        <f t="shared" si="14"/>
        <v>2.835727670206121</v>
      </c>
      <c r="J94" s="6"/>
    </row>
    <row r="95" spans="1:10" ht="25.5">
      <c r="A95" s="129" t="s">
        <v>23</v>
      </c>
      <c r="B95" s="132"/>
      <c r="C95" s="66">
        <v>411300</v>
      </c>
      <c r="D95" s="72" t="s">
        <v>404</v>
      </c>
      <c r="E95" s="154">
        <v>120000</v>
      </c>
      <c r="F95" s="196">
        <f>G95-E95</f>
        <v>15000</v>
      </c>
      <c r="G95" s="154">
        <v>135000</v>
      </c>
      <c r="H95" s="148">
        <f t="shared" si="15"/>
        <v>112.5</v>
      </c>
      <c r="I95" s="215">
        <f t="shared" si="14"/>
        <v>0.4216114928169894</v>
      </c>
      <c r="J95" s="6"/>
    </row>
    <row r="96" spans="1:10" ht="12.75" customHeight="1">
      <c r="A96" s="129" t="s">
        <v>23</v>
      </c>
      <c r="B96" s="132"/>
      <c r="C96" s="66">
        <v>411400</v>
      </c>
      <c r="D96" s="73" t="s">
        <v>318</v>
      </c>
      <c r="E96" s="154">
        <v>130490</v>
      </c>
      <c r="F96" s="196">
        <f>G96-E96</f>
        <v>0</v>
      </c>
      <c r="G96" s="154">
        <v>130490</v>
      </c>
      <c r="H96" s="148">
        <f t="shared" si="15"/>
        <v>100</v>
      </c>
      <c r="I96" s="215">
        <f t="shared" si="14"/>
        <v>0.40752654590880705</v>
      </c>
      <c r="J96" s="6"/>
    </row>
    <row r="97" spans="1:10" ht="14.25" customHeight="1">
      <c r="A97" s="129"/>
      <c r="B97" s="52">
        <v>412000</v>
      </c>
      <c r="C97" s="66"/>
      <c r="D97" s="143" t="s">
        <v>119</v>
      </c>
      <c r="E97" s="183">
        <f>SUM(E98:E101)</f>
        <v>23312.11</v>
      </c>
      <c r="F97" s="183">
        <f>SUM(F98:F101)</f>
        <v>0</v>
      </c>
      <c r="G97" s="183">
        <f>SUM(G98:G101)</f>
        <v>23312.11</v>
      </c>
      <c r="H97" s="145">
        <f t="shared" si="15"/>
        <v>100</v>
      </c>
      <c r="I97" s="146">
        <f t="shared" si="14"/>
        <v>0.07280484072454717</v>
      </c>
      <c r="J97" s="6"/>
    </row>
    <row r="98" spans="1:10" ht="12.75" customHeight="1">
      <c r="A98" s="129" t="s">
        <v>23</v>
      </c>
      <c r="B98" s="132"/>
      <c r="C98" s="66">
        <v>412700</v>
      </c>
      <c r="D98" s="132" t="s">
        <v>106</v>
      </c>
      <c r="E98" s="152">
        <v>7312.11</v>
      </c>
      <c r="F98" s="152">
        <f>G98-E98</f>
        <v>0</v>
      </c>
      <c r="G98" s="152">
        <v>7312.11</v>
      </c>
      <c r="H98" s="148">
        <f t="shared" si="15"/>
        <v>100</v>
      </c>
      <c r="I98" s="215">
        <f t="shared" si="14"/>
        <v>0.022836071205496564</v>
      </c>
      <c r="J98" s="6"/>
    </row>
    <row r="99" spans="1:10" ht="12.75" customHeight="1">
      <c r="A99" s="129" t="s">
        <v>23</v>
      </c>
      <c r="B99" s="132"/>
      <c r="C99" s="66">
        <v>412900</v>
      </c>
      <c r="D99" s="88" t="s">
        <v>0</v>
      </c>
      <c r="E99" s="152">
        <v>400</v>
      </c>
      <c r="F99" s="152">
        <f>G99-E99</f>
        <v>0</v>
      </c>
      <c r="G99" s="152">
        <v>400</v>
      </c>
      <c r="H99" s="148">
        <f t="shared" si="15"/>
        <v>100</v>
      </c>
      <c r="I99" s="215">
        <f t="shared" si="14"/>
        <v>0.0012492192379762648</v>
      </c>
      <c r="J99" s="6"/>
    </row>
    <row r="100" spans="1:10" ht="12.75" customHeight="1">
      <c r="A100" s="129" t="s">
        <v>23</v>
      </c>
      <c r="B100" s="132"/>
      <c r="C100" s="66">
        <v>412900</v>
      </c>
      <c r="D100" s="88" t="s">
        <v>144</v>
      </c>
      <c r="E100" s="152">
        <v>5000</v>
      </c>
      <c r="F100" s="152">
        <f>G100-E100</f>
        <v>0</v>
      </c>
      <c r="G100" s="152">
        <v>5000</v>
      </c>
      <c r="H100" s="148">
        <f t="shared" si="15"/>
        <v>100</v>
      </c>
      <c r="I100" s="215">
        <f t="shared" si="14"/>
        <v>0.01561524047470331</v>
      </c>
      <c r="J100" s="6"/>
    </row>
    <row r="101" spans="1:10" ht="12.75" customHeight="1">
      <c r="A101" s="129" t="s">
        <v>23</v>
      </c>
      <c r="B101" s="132"/>
      <c r="C101" s="66">
        <v>412900</v>
      </c>
      <c r="D101" s="88" t="s">
        <v>128</v>
      </c>
      <c r="E101" s="152">
        <v>10600</v>
      </c>
      <c r="F101" s="152">
        <f>G101-E101</f>
        <v>0</v>
      </c>
      <c r="G101" s="152">
        <v>10600</v>
      </c>
      <c r="H101" s="148">
        <f t="shared" si="15"/>
        <v>100</v>
      </c>
      <c r="I101" s="215">
        <f t="shared" si="14"/>
        <v>0.03310430980637102</v>
      </c>
      <c r="J101" s="6"/>
    </row>
    <row r="102" spans="1:10" ht="12.75">
      <c r="A102" s="129"/>
      <c r="B102" s="52">
        <v>418000</v>
      </c>
      <c r="C102" s="66"/>
      <c r="D102" s="143" t="s">
        <v>407</v>
      </c>
      <c r="E102" s="183">
        <f>SUM(E103)</f>
        <v>8000</v>
      </c>
      <c r="F102" s="183">
        <f>SUM(F103)</f>
        <v>0</v>
      </c>
      <c r="G102" s="183">
        <f>SUM(G103)</f>
        <v>8000</v>
      </c>
      <c r="H102" s="145">
        <f t="shared" si="15"/>
        <v>100</v>
      </c>
      <c r="I102" s="146">
        <f t="shared" si="14"/>
        <v>0.024984384759525295</v>
      </c>
      <c r="J102" s="6"/>
    </row>
    <row r="103" spans="1:10" ht="16.5" customHeight="1">
      <c r="A103" s="129" t="s">
        <v>23</v>
      </c>
      <c r="B103" s="132"/>
      <c r="C103" s="66">
        <v>418200</v>
      </c>
      <c r="D103" s="88" t="s">
        <v>145</v>
      </c>
      <c r="E103" s="154">
        <v>8000</v>
      </c>
      <c r="F103" s="154">
        <f>G103-E103</f>
        <v>0</v>
      </c>
      <c r="G103" s="154">
        <v>8000</v>
      </c>
      <c r="H103" s="148">
        <f t="shared" si="15"/>
        <v>100</v>
      </c>
      <c r="I103" s="215">
        <f t="shared" si="14"/>
        <v>0.024984384759525295</v>
      </c>
      <c r="J103" s="6"/>
    </row>
    <row r="104" spans="1:10" ht="16.5" customHeight="1">
      <c r="A104" s="136"/>
      <c r="B104" s="52">
        <v>638000</v>
      </c>
      <c r="C104" s="66"/>
      <c r="D104" s="143" t="s">
        <v>319</v>
      </c>
      <c r="E104" s="183">
        <f>SUM(E105)</f>
        <v>162000</v>
      </c>
      <c r="F104" s="183">
        <f>SUM(F105)</f>
        <v>-15000</v>
      </c>
      <c r="G104" s="183">
        <f>SUM(G105)</f>
        <v>147000</v>
      </c>
      <c r="H104" s="145">
        <f t="shared" si="15"/>
        <v>90.74074074074075</v>
      </c>
      <c r="I104" s="146">
        <f t="shared" si="14"/>
        <v>0.4590880699562773</v>
      </c>
      <c r="J104" s="6"/>
    </row>
    <row r="105" spans="1:10" ht="34.5" customHeight="1">
      <c r="A105" s="129"/>
      <c r="B105" s="132"/>
      <c r="C105" s="66">
        <v>638100</v>
      </c>
      <c r="D105" s="88" t="s">
        <v>320</v>
      </c>
      <c r="E105" s="154">
        <v>162000</v>
      </c>
      <c r="F105" s="154">
        <f>G105-E105</f>
        <v>-15000</v>
      </c>
      <c r="G105" s="154">
        <v>147000</v>
      </c>
      <c r="H105" s="148">
        <f t="shared" si="15"/>
        <v>90.74074074074075</v>
      </c>
      <c r="I105" s="215">
        <f t="shared" si="14"/>
        <v>0.4590880699562773</v>
      </c>
      <c r="J105" s="330"/>
    </row>
    <row r="106" spans="1:10" ht="30" customHeight="1">
      <c r="A106" s="507"/>
      <c r="B106" s="508"/>
      <c r="C106" s="501" t="s">
        <v>77</v>
      </c>
      <c r="D106" s="505"/>
      <c r="E106" s="167">
        <f>E92+E97+E102+E104</f>
        <v>4562802.11</v>
      </c>
      <c r="F106" s="167">
        <f>F92+F97+F102+F104</f>
        <v>0</v>
      </c>
      <c r="G106" s="167">
        <f>G92+G97+G102+G104</f>
        <v>4562802.11</v>
      </c>
      <c r="H106" s="382">
        <f t="shared" si="15"/>
        <v>100</v>
      </c>
      <c r="I106" s="422">
        <f t="shared" si="14"/>
        <v>14.249850437226735</v>
      </c>
      <c r="J106" s="16"/>
    </row>
    <row r="107" spans="1:10" ht="9.75" customHeight="1">
      <c r="A107" s="511"/>
      <c r="B107" s="512"/>
      <c r="C107" s="503" t="s">
        <v>578</v>
      </c>
      <c r="D107" s="503"/>
      <c r="E107" s="197"/>
      <c r="F107" s="197"/>
      <c r="G107" s="197"/>
      <c r="H107" s="197"/>
      <c r="I107" s="198"/>
      <c r="J107" s="16"/>
    </row>
    <row r="108" spans="1:10" ht="9.75" customHeight="1">
      <c r="A108" s="511"/>
      <c r="B108" s="512"/>
      <c r="C108" s="503"/>
      <c r="D108" s="503"/>
      <c r="E108" s="439"/>
      <c r="F108" s="439"/>
      <c r="G108" s="439"/>
      <c r="H108" s="199"/>
      <c r="I108" s="200"/>
      <c r="J108" s="16"/>
    </row>
    <row r="109" spans="1:10" ht="9.75" customHeight="1">
      <c r="A109" s="511"/>
      <c r="B109" s="512"/>
      <c r="C109" s="503"/>
      <c r="D109" s="503"/>
      <c r="E109" s="199"/>
      <c r="F109" s="199"/>
      <c r="G109" s="199"/>
      <c r="H109" s="199"/>
      <c r="I109" s="200"/>
      <c r="J109" s="16"/>
    </row>
    <row r="110" spans="1:10" ht="19.5" customHeight="1">
      <c r="A110" s="511"/>
      <c r="B110" s="512"/>
      <c r="C110" s="503"/>
      <c r="D110" s="503"/>
      <c r="E110" s="201"/>
      <c r="F110" s="201"/>
      <c r="G110" s="201"/>
      <c r="H110" s="201"/>
      <c r="I110" s="202"/>
      <c r="J110" s="16"/>
    </row>
    <row r="111" spans="1:10" ht="14.25" customHeight="1">
      <c r="A111" s="129"/>
      <c r="B111" s="52">
        <v>412000</v>
      </c>
      <c r="C111" s="66"/>
      <c r="D111" s="143" t="s">
        <v>119</v>
      </c>
      <c r="E111" s="145">
        <f>SUM(E112:E114)</f>
        <v>60420</v>
      </c>
      <c r="F111" s="145">
        <f>SUM(F112:F114)</f>
        <v>-170</v>
      </c>
      <c r="G111" s="145">
        <f>SUM(G112:G114)</f>
        <v>60250</v>
      </c>
      <c r="H111" s="145">
        <f>G111/E111*100</f>
        <v>99.71863621317445</v>
      </c>
      <c r="I111" s="146">
        <f aca="true" t="shared" si="16" ref="I111:I142">G111/$G$611*100</f>
        <v>0.18816364772017488</v>
      </c>
      <c r="J111" s="16"/>
    </row>
    <row r="112" spans="1:10" ht="13.5" customHeight="1">
      <c r="A112" s="129" t="s">
        <v>23</v>
      </c>
      <c r="B112" s="59"/>
      <c r="C112" s="132">
        <v>412700</v>
      </c>
      <c r="D112" s="88" t="s">
        <v>96</v>
      </c>
      <c r="E112" s="154">
        <v>57020</v>
      </c>
      <c r="F112" s="154">
        <f>G112-E112</f>
        <v>0</v>
      </c>
      <c r="G112" s="154">
        <v>57020</v>
      </c>
      <c r="H112" s="148">
        <f aca="true" t="shared" si="17" ref="H112:H167">G112/E112*100</f>
        <v>100</v>
      </c>
      <c r="I112" s="215">
        <f t="shared" si="16"/>
        <v>0.17807620237351654</v>
      </c>
      <c r="J112" s="6"/>
    </row>
    <row r="113" spans="1:10" ht="16.5" customHeight="1">
      <c r="A113" s="129" t="s">
        <v>32</v>
      </c>
      <c r="B113" s="59"/>
      <c r="C113" s="132">
        <v>412700</v>
      </c>
      <c r="D113" s="88" t="s">
        <v>417</v>
      </c>
      <c r="E113" s="152">
        <v>3000</v>
      </c>
      <c r="F113" s="154">
        <f>G113-E113</f>
        <v>-150</v>
      </c>
      <c r="G113" s="152">
        <v>2850</v>
      </c>
      <c r="H113" s="148">
        <f t="shared" si="17"/>
        <v>95</v>
      </c>
      <c r="I113" s="215">
        <f t="shared" si="16"/>
        <v>0.008900687070580886</v>
      </c>
      <c r="J113" s="6"/>
    </row>
    <row r="114" spans="1:10" ht="12.75" customHeight="1">
      <c r="A114" s="129" t="s">
        <v>23</v>
      </c>
      <c r="B114" s="132"/>
      <c r="C114" s="66">
        <v>412900</v>
      </c>
      <c r="D114" s="88" t="s">
        <v>24</v>
      </c>
      <c r="E114" s="152">
        <v>400</v>
      </c>
      <c r="F114" s="154">
        <f>G114-E114</f>
        <v>-20</v>
      </c>
      <c r="G114" s="152">
        <v>380</v>
      </c>
      <c r="H114" s="148">
        <f t="shared" si="17"/>
        <v>95</v>
      </c>
      <c r="I114" s="215">
        <f t="shared" si="16"/>
        <v>0.0011867582760774515</v>
      </c>
      <c r="J114" s="6"/>
    </row>
    <row r="115" spans="1:10" ht="12.75" customHeight="1" hidden="1">
      <c r="A115" s="129"/>
      <c r="B115" s="52">
        <v>414000</v>
      </c>
      <c r="C115" s="66"/>
      <c r="D115" s="143" t="s">
        <v>174</v>
      </c>
      <c r="E115" s="145">
        <f>SUM(E116:E116)</f>
        <v>0</v>
      </c>
      <c r="F115" s="145">
        <f>SUM(F116:F116)</f>
        <v>0</v>
      </c>
      <c r="G115" s="145">
        <f>SUM(G116:G116)</f>
        <v>0</v>
      </c>
      <c r="H115" s="145" t="e">
        <f t="shared" si="17"/>
        <v>#DIV/0!</v>
      </c>
      <c r="I115" s="146">
        <f t="shared" si="16"/>
        <v>0</v>
      </c>
      <c r="J115" s="6"/>
    </row>
    <row r="116" spans="1:10" ht="12.75" customHeight="1" hidden="1">
      <c r="A116" s="129" t="s">
        <v>397</v>
      </c>
      <c r="B116" s="132"/>
      <c r="C116" s="66">
        <v>414100</v>
      </c>
      <c r="D116" s="88" t="s">
        <v>452</v>
      </c>
      <c r="E116" s="152">
        <v>0</v>
      </c>
      <c r="F116" s="152">
        <v>0</v>
      </c>
      <c r="G116" s="152">
        <v>0</v>
      </c>
      <c r="H116" s="145" t="e">
        <f t="shared" si="17"/>
        <v>#DIV/0!</v>
      </c>
      <c r="I116" s="146">
        <f t="shared" si="16"/>
        <v>0</v>
      </c>
      <c r="J116" s="6"/>
    </row>
    <row r="117" spans="1:10" ht="14.25" customHeight="1">
      <c r="A117" s="129"/>
      <c r="B117" s="52">
        <v>415000</v>
      </c>
      <c r="C117" s="132"/>
      <c r="D117" s="143" t="s">
        <v>133</v>
      </c>
      <c r="E117" s="183">
        <f>SUM(E118:E152)</f>
        <v>1100036.15</v>
      </c>
      <c r="F117" s="183">
        <f>SUM(F118:F152)</f>
        <v>107327.3</v>
      </c>
      <c r="G117" s="183">
        <f>SUM(G118:G152)</f>
        <v>1207363.45</v>
      </c>
      <c r="H117" s="145">
        <f t="shared" si="17"/>
        <v>109.75670663186843</v>
      </c>
      <c r="I117" s="146">
        <f t="shared" si="16"/>
        <v>3.770654122423485</v>
      </c>
      <c r="J117" s="6"/>
    </row>
    <row r="118" spans="1:10" ht="12.75" customHeight="1">
      <c r="A118" s="129" t="s">
        <v>26</v>
      </c>
      <c r="B118" s="132"/>
      <c r="C118" s="66">
        <v>415200</v>
      </c>
      <c r="D118" s="125" t="s">
        <v>200</v>
      </c>
      <c r="E118" s="196">
        <v>75000</v>
      </c>
      <c r="F118" s="196">
        <f>G118-E118</f>
        <v>38000</v>
      </c>
      <c r="G118" s="196">
        <f>75000+38000</f>
        <v>113000</v>
      </c>
      <c r="H118" s="148">
        <f t="shared" si="17"/>
        <v>150.66666666666666</v>
      </c>
      <c r="I118" s="215">
        <f t="shared" si="16"/>
        <v>0.35290443472829486</v>
      </c>
      <c r="J118" s="6"/>
    </row>
    <row r="119" spans="1:10" ht="12.75" customHeight="1">
      <c r="A119" s="129" t="s">
        <v>28</v>
      </c>
      <c r="B119" s="132"/>
      <c r="C119" s="66">
        <v>415200</v>
      </c>
      <c r="D119" s="88" t="s">
        <v>29</v>
      </c>
      <c r="E119" s="154">
        <v>33800</v>
      </c>
      <c r="F119" s="196">
        <f aca="true" t="shared" si="18" ref="F119:F152">G119-E119</f>
        <v>4000</v>
      </c>
      <c r="G119" s="154">
        <v>37800</v>
      </c>
      <c r="H119" s="148">
        <f t="shared" si="17"/>
        <v>111.83431952662721</v>
      </c>
      <c r="I119" s="215">
        <f t="shared" si="16"/>
        <v>0.11805121798875702</v>
      </c>
      <c r="J119" s="6"/>
    </row>
    <row r="120" spans="1:10" ht="12" customHeight="1">
      <c r="A120" s="129" t="s">
        <v>28</v>
      </c>
      <c r="B120" s="132"/>
      <c r="C120" s="66">
        <v>415200</v>
      </c>
      <c r="D120" s="88" t="s">
        <v>458</v>
      </c>
      <c r="E120" s="154">
        <v>800</v>
      </c>
      <c r="F120" s="196">
        <f t="shared" si="18"/>
        <v>0</v>
      </c>
      <c r="G120" s="154">
        <v>800</v>
      </c>
      <c r="H120" s="148">
        <f t="shared" si="17"/>
        <v>100</v>
      </c>
      <c r="I120" s="215">
        <f t="shared" si="16"/>
        <v>0.0024984384759525295</v>
      </c>
      <c r="J120" s="6"/>
    </row>
    <row r="121" spans="1:10" ht="12.75" customHeight="1">
      <c r="A121" s="129" t="s">
        <v>30</v>
      </c>
      <c r="B121" s="132"/>
      <c r="C121" s="66">
        <v>415200</v>
      </c>
      <c r="D121" s="93" t="s">
        <v>237</v>
      </c>
      <c r="E121" s="196">
        <v>360000</v>
      </c>
      <c r="F121" s="196">
        <f t="shared" si="18"/>
        <v>0</v>
      </c>
      <c r="G121" s="196">
        <v>360000</v>
      </c>
      <c r="H121" s="148">
        <f t="shared" si="17"/>
        <v>100</v>
      </c>
      <c r="I121" s="215">
        <f t="shared" si="16"/>
        <v>1.1242973141786383</v>
      </c>
      <c r="J121" s="6"/>
    </row>
    <row r="122" spans="1:10" ht="14.25" customHeight="1">
      <c r="A122" s="129" t="s">
        <v>30</v>
      </c>
      <c r="B122" s="132"/>
      <c r="C122" s="66">
        <v>415200</v>
      </c>
      <c r="D122" s="93" t="s">
        <v>459</v>
      </c>
      <c r="E122" s="154">
        <v>17150</v>
      </c>
      <c r="F122" s="196">
        <f t="shared" si="18"/>
        <v>19255</v>
      </c>
      <c r="G122" s="154">
        <v>36405</v>
      </c>
      <c r="H122" s="148">
        <f t="shared" si="17"/>
        <v>212.27405247813408</v>
      </c>
      <c r="I122" s="215">
        <f t="shared" si="16"/>
        <v>0.1136945658963148</v>
      </c>
      <c r="J122" s="6"/>
    </row>
    <row r="123" spans="1:10" ht="15" customHeight="1">
      <c r="A123" s="129" t="s">
        <v>31</v>
      </c>
      <c r="B123" s="132"/>
      <c r="C123" s="66">
        <v>415200</v>
      </c>
      <c r="D123" s="88" t="s">
        <v>107</v>
      </c>
      <c r="E123" s="154">
        <v>55500</v>
      </c>
      <c r="F123" s="196">
        <f t="shared" si="18"/>
        <v>0</v>
      </c>
      <c r="G123" s="154">
        <v>55500</v>
      </c>
      <c r="H123" s="148">
        <f t="shared" si="17"/>
        <v>100</v>
      </c>
      <c r="I123" s="215">
        <f t="shared" si="16"/>
        <v>0.17332916926920675</v>
      </c>
      <c r="J123" s="6"/>
    </row>
    <row r="124" spans="1:10" ht="26.25" customHeight="1">
      <c r="A124" s="129" t="s">
        <v>31</v>
      </c>
      <c r="B124" s="132"/>
      <c r="C124" s="66">
        <v>415200</v>
      </c>
      <c r="D124" s="88" t="s">
        <v>460</v>
      </c>
      <c r="E124" s="154">
        <v>8616.15</v>
      </c>
      <c r="F124" s="196">
        <f t="shared" si="18"/>
        <v>11985.000000000002</v>
      </c>
      <c r="G124" s="154">
        <v>20601.15</v>
      </c>
      <c r="H124" s="148">
        <f t="shared" si="17"/>
        <v>239.09924966487358</v>
      </c>
      <c r="I124" s="215">
        <f t="shared" si="16"/>
        <v>0.06433838226108683</v>
      </c>
      <c r="J124" s="6"/>
    </row>
    <row r="125" spans="1:10" ht="13.5" customHeight="1">
      <c r="A125" s="131" t="s">
        <v>28</v>
      </c>
      <c r="B125" s="132"/>
      <c r="C125" s="66">
        <v>415200</v>
      </c>
      <c r="D125" s="88" t="s">
        <v>339</v>
      </c>
      <c r="E125" s="154">
        <v>6000</v>
      </c>
      <c r="F125" s="196">
        <f t="shared" si="18"/>
        <v>0</v>
      </c>
      <c r="G125" s="154">
        <v>6000</v>
      </c>
      <c r="H125" s="148">
        <f t="shared" si="17"/>
        <v>100</v>
      </c>
      <c r="I125" s="215">
        <f t="shared" si="16"/>
        <v>0.018738288569643973</v>
      </c>
      <c r="J125" s="6"/>
    </row>
    <row r="126" spans="1:10" ht="13.5" customHeight="1">
      <c r="A126" s="131" t="s">
        <v>28</v>
      </c>
      <c r="B126" s="132"/>
      <c r="C126" s="66">
        <v>415200</v>
      </c>
      <c r="D126" s="88" t="s">
        <v>461</v>
      </c>
      <c r="E126" s="154">
        <v>1500</v>
      </c>
      <c r="F126" s="196">
        <f t="shared" si="18"/>
        <v>0</v>
      </c>
      <c r="G126" s="154">
        <v>1500</v>
      </c>
      <c r="H126" s="148">
        <f t="shared" si="17"/>
        <v>100</v>
      </c>
      <c r="I126" s="215">
        <f t="shared" si="16"/>
        <v>0.004684572142410993</v>
      </c>
      <c r="J126" s="6"/>
    </row>
    <row r="127" spans="1:10" ht="12.75">
      <c r="A127" s="131" t="s">
        <v>28</v>
      </c>
      <c r="B127" s="132"/>
      <c r="C127" s="66">
        <v>415200</v>
      </c>
      <c r="D127" s="88" t="s">
        <v>341</v>
      </c>
      <c r="E127" s="154">
        <v>9000</v>
      </c>
      <c r="F127" s="196">
        <f t="shared" si="18"/>
        <v>-450</v>
      </c>
      <c r="G127" s="154">
        <v>8550</v>
      </c>
      <c r="H127" s="148">
        <f t="shared" si="17"/>
        <v>95</v>
      </c>
      <c r="I127" s="215">
        <f t="shared" si="16"/>
        <v>0.02670206121174266</v>
      </c>
      <c r="J127" s="6"/>
    </row>
    <row r="128" spans="1:10" ht="25.5">
      <c r="A128" s="131" t="s">
        <v>28</v>
      </c>
      <c r="B128" s="132"/>
      <c r="C128" s="66">
        <v>415200</v>
      </c>
      <c r="D128" s="88" t="s">
        <v>637</v>
      </c>
      <c r="E128" s="154">
        <v>3000</v>
      </c>
      <c r="F128" s="196">
        <f t="shared" si="18"/>
        <v>0</v>
      </c>
      <c r="G128" s="154">
        <v>3000</v>
      </c>
      <c r="H128" s="148">
        <f t="shared" si="17"/>
        <v>100</v>
      </c>
      <c r="I128" s="215">
        <f t="shared" si="16"/>
        <v>0.009369144284821987</v>
      </c>
      <c r="J128" s="6"/>
    </row>
    <row r="129" spans="1:10" ht="13.5" customHeight="1">
      <c r="A129" s="131" t="s">
        <v>342</v>
      </c>
      <c r="B129" s="132"/>
      <c r="C129" s="66">
        <v>415200</v>
      </c>
      <c r="D129" s="88" t="s">
        <v>340</v>
      </c>
      <c r="E129" s="154">
        <v>6000</v>
      </c>
      <c r="F129" s="196">
        <f t="shared" si="18"/>
        <v>-300</v>
      </c>
      <c r="G129" s="154">
        <v>5700</v>
      </c>
      <c r="H129" s="148">
        <f t="shared" si="17"/>
        <v>95</v>
      </c>
      <c r="I129" s="215">
        <f t="shared" si="16"/>
        <v>0.01780137414116177</v>
      </c>
      <c r="J129" s="6"/>
    </row>
    <row r="130" spans="1:10" ht="12.75" customHeight="1">
      <c r="A130" s="129" t="s">
        <v>31</v>
      </c>
      <c r="B130" s="132"/>
      <c r="C130" s="66">
        <v>415200</v>
      </c>
      <c r="D130" s="88" t="s">
        <v>108</v>
      </c>
      <c r="E130" s="154">
        <v>25000</v>
      </c>
      <c r="F130" s="196">
        <f t="shared" si="18"/>
        <v>0</v>
      </c>
      <c r="G130" s="154">
        <v>25000</v>
      </c>
      <c r="H130" s="148">
        <f t="shared" si="17"/>
        <v>100</v>
      </c>
      <c r="I130" s="215">
        <f t="shared" si="16"/>
        <v>0.07807620237351655</v>
      </c>
      <c r="J130" s="6"/>
    </row>
    <row r="131" spans="1:10" ht="13.5" customHeight="1">
      <c r="A131" s="129" t="s">
        <v>31</v>
      </c>
      <c r="B131" s="132"/>
      <c r="C131" s="66">
        <v>415200</v>
      </c>
      <c r="D131" s="88" t="s">
        <v>462</v>
      </c>
      <c r="E131" s="154">
        <v>1030</v>
      </c>
      <c r="F131" s="196">
        <f t="shared" si="18"/>
        <v>400</v>
      </c>
      <c r="G131" s="154">
        <v>1430</v>
      </c>
      <c r="H131" s="148">
        <f t="shared" si="17"/>
        <v>138.83495145631068</v>
      </c>
      <c r="I131" s="215">
        <f t="shared" si="16"/>
        <v>0.0044659587757651465</v>
      </c>
      <c r="J131" s="6"/>
    </row>
    <row r="132" spans="1:10" ht="25.5">
      <c r="A132" s="129" t="s">
        <v>31</v>
      </c>
      <c r="B132" s="132"/>
      <c r="C132" s="66">
        <v>415200</v>
      </c>
      <c r="D132" s="88" t="s">
        <v>272</v>
      </c>
      <c r="E132" s="154">
        <v>5000</v>
      </c>
      <c r="F132" s="196">
        <f t="shared" si="18"/>
        <v>0</v>
      </c>
      <c r="G132" s="154">
        <v>5000</v>
      </c>
      <c r="H132" s="148">
        <f t="shared" si="17"/>
        <v>100</v>
      </c>
      <c r="I132" s="215">
        <f t="shared" si="16"/>
        <v>0.01561524047470331</v>
      </c>
      <c r="J132" s="6"/>
    </row>
    <row r="133" spans="1:10" ht="26.25" customHeight="1">
      <c r="A133" s="129" t="s">
        <v>31</v>
      </c>
      <c r="B133" s="132"/>
      <c r="C133" s="66">
        <v>415200</v>
      </c>
      <c r="D133" s="88" t="s">
        <v>636</v>
      </c>
      <c r="E133" s="154">
        <v>2500</v>
      </c>
      <c r="F133" s="196">
        <f t="shared" si="18"/>
        <v>0</v>
      </c>
      <c r="G133" s="154">
        <v>2500</v>
      </c>
      <c r="H133" s="148">
        <f t="shared" si="17"/>
        <v>100</v>
      </c>
      <c r="I133" s="215">
        <f t="shared" si="16"/>
        <v>0.007807620237351655</v>
      </c>
      <c r="J133" s="6"/>
    </row>
    <row r="134" spans="1:10" ht="13.5" customHeight="1">
      <c r="A134" s="129" t="s">
        <v>28</v>
      </c>
      <c r="B134" s="132"/>
      <c r="C134" s="66">
        <v>415200</v>
      </c>
      <c r="D134" s="88" t="s">
        <v>426</v>
      </c>
      <c r="E134" s="154">
        <v>1500</v>
      </c>
      <c r="F134" s="196">
        <f t="shared" si="18"/>
        <v>-75</v>
      </c>
      <c r="G134" s="154">
        <v>1425</v>
      </c>
      <c r="H134" s="148">
        <f t="shared" si="17"/>
        <v>95</v>
      </c>
      <c r="I134" s="215">
        <f t="shared" si="16"/>
        <v>0.004450343535290443</v>
      </c>
      <c r="J134" s="6"/>
    </row>
    <row r="135" spans="1:10" ht="12.75" customHeight="1">
      <c r="A135" s="129" t="s">
        <v>31</v>
      </c>
      <c r="B135" s="132"/>
      <c r="C135" s="66">
        <v>415200</v>
      </c>
      <c r="D135" s="88" t="s">
        <v>92</v>
      </c>
      <c r="E135" s="154">
        <v>30000</v>
      </c>
      <c r="F135" s="196">
        <f t="shared" si="18"/>
        <v>0</v>
      </c>
      <c r="G135" s="154">
        <v>30000</v>
      </c>
      <c r="H135" s="148">
        <f t="shared" si="17"/>
        <v>100</v>
      </c>
      <c r="I135" s="215">
        <f t="shared" si="16"/>
        <v>0.09369144284821987</v>
      </c>
      <c r="J135" s="6"/>
    </row>
    <row r="136" spans="1:10" ht="13.5" customHeight="1">
      <c r="A136" s="129" t="s">
        <v>31</v>
      </c>
      <c r="B136" s="132"/>
      <c r="C136" s="66">
        <v>415200</v>
      </c>
      <c r="D136" s="88" t="s">
        <v>463</v>
      </c>
      <c r="E136" s="154">
        <v>0</v>
      </c>
      <c r="F136" s="196">
        <f t="shared" si="18"/>
        <v>400</v>
      </c>
      <c r="G136" s="154">
        <v>400</v>
      </c>
      <c r="H136" s="148" t="e">
        <f t="shared" si="17"/>
        <v>#DIV/0!</v>
      </c>
      <c r="I136" s="215">
        <f t="shared" si="16"/>
        <v>0.0012492192379762648</v>
      </c>
      <c r="J136" s="6"/>
    </row>
    <row r="137" spans="1:10" ht="27" customHeight="1">
      <c r="A137" s="129" t="s">
        <v>42</v>
      </c>
      <c r="B137" s="52"/>
      <c r="C137" s="66">
        <v>415200</v>
      </c>
      <c r="D137" s="75" t="s">
        <v>187</v>
      </c>
      <c r="E137" s="196">
        <v>150000</v>
      </c>
      <c r="F137" s="196">
        <f t="shared" si="18"/>
        <v>0</v>
      </c>
      <c r="G137" s="196">
        <v>150000</v>
      </c>
      <c r="H137" s="148">
        <f t="shared" si="17"/>
        <v>100</v>
      </c>
      <c r="I137" s="215">
        <f t="shared" si="16"/>
        <v>0.4684572142410993</v>
      </c>
      <c r="J137" s="6"/>
    </row>
    <row r="138" spans="1:10" ht="26.25" customHeight="1">
      <c r="A138" s="129" t="s">
        <v>42</v>
      </c>
      <c r="B138" s="52"/>
      <c r="C138" s="66">
        <v>415200</v>
      </c>
      <c r="D138" s="93" t="s">
        <v>464</v>
      </c>
      <c r="E138" s="154">
        <v>7150</v>
      </c>
      <c r="F138" s="196">
        <f t="shared" si="18"/>
        <v>10300</v>
      </c>
      <c r="G138" s="154">
        <v>17450</v>
      </c>
      <c r="H138" s="148">
        <f t="shared" si="17"/>
        <v>244.05594405594405</v>
      </c>
      <c r="I138" s="215">
        <f t="shared" si="16"/>
        <v>0.054497189256714554</v>
      </c>
      <c r="J138" s="6"/>
    </row>
    <row r="139" spans="1:10" ht="12.75">
      <c r="A139" s="131" t="s">
        <v>408</v>
      </c>
      <c r="B139" s="203"/>
      <c r="C139" s="205">
        <v>415200</v>
      </c>
      <c r="D139" s="93" t="s">
        <v>605</v>
      </c>
      <c r="E139" s="154">
        <v>20000</v>
      </c>
      <c r="F139" s="196">
        <f t="shared" si="18"/>
        <v>-1000</v>
      </c>
      <c r="G139" s="154">
        <v>19000</v>
      </c>
      <c r="H139" s="148">
        <f t="shared" si="17"/>
        <v>95</v>
      </c>
      <c r="I139" s="215">
        <f t="shared" si="16"/>
        <v>0.059337913803872586</v>
      </c>
      <c r="J139" s="6"/>
    </row>
    <row r="140" spans="1:10" ht="23.25" customHeight="1">
      <c r="A140" s="131" t="s">
        <v>28</v>
      </c>
      <c r="B140" s="203"/>
      <c r="C140" s="97">
        <v>415200</v>
      </c>
      <c r="D140" s="93" t="s">
        <v>208</v>
      </c>
      <c r="E140" s="154">
        <v>60000</v>
      </c>
      <c r="F140" s="196">
        <f t="shared" si="18"/>
        <v>-150</v>
      </c>
      <c r="G140" s="154">
        <v>59850</v>
      </c>
      <c r="H140" s="148">
        <f t="shared" si="17"/>
        <v>99.75</v>
      </c>
      <c r="I140" s="215">
        <f t="shared" si="16"/>
        <v>0.1869144284821986</v>
      </c>
      <c r="J140" s="6"/>
    </row>
    <row r="141" spans="1:10" ht="0.75" customHeight="1" hidden="1">
      <c r="A141" s="131" t="s">
        <v>28</v>
      </c>
      <c r="B141" s="203"/>
      <c r="C141" s="97">
        <v>415200</v>
      </c>
      <c r="D141" s="93" t="s">
        <v>465</v>
      </c>
      <c r="E141" s="154"/>
      <c r="F141" s="196">
        <f t="shared" si="18"/>
        <v>0</v>
      </c>
      <c r="G141" s="154"/>
      <c r="H141" s="148" t="e">
        <f t="shared" si="17"/>
        <v>#DIV/0!</v>
      </c>
      <c r="I141" s="215">
        <f t="shared" si="16"/>
        <v>0</v>
      </c>
      <c r="J141" s="6"/>
    </row>
    <row r="142" spans="1:10" ht="12.75" customHeight="1">
      <c r="A142" s="129" t="s">
        <v>33</v>
      </c>
      <c r="B142" s="132"/>
      <c r="C142" s="66">
        <v>415200</v>
      </c>
      <c r="D142" s="88" t="s">
        <v>91</v>
      </c>
      <c r="E142" s="154">
        <v>75000</v>
      </c>
      <c r="F142" s="196">
        <f t="shared" si="18"/>
        <v>0</v>
      </c>
      <c r="G142" s="154">
        <v>75000</v>
      </c>
      <c r="H142" s="148">
        <f t="shared" si="17"/>
        <v>100</v>
      </c>
      <c r="I142" s="215">
        <f t="shared" si="16"/>
        <v>0.23422860712054966</v>
      </c>
      <c r="J142" s="6"/>
    </row>
    <row r="143" spans="1:10" ht="16.5" customHeight="1" hidden="1">
      <c r="A143" s="129" t="s">
        <v>33</v>
      </c>
      <c r="B143" s="132"/>
      <c r="C143" s="66">
        <v>415200</v>
      </c>
      <c r="D143" s="88" t="s">
        <v>466</v>
      </c>
      <c r="E143" s="154"/>
      <c r="F143" s="196">
        <f t="shared" si="18"/>
        <v>0</v>
      </c>
      <c r="G143" s="154"/>
      <c r="H143" s="148" t="e">
        <f t="shared" si="17"/>
        <v>#DIV/0!</v>
      </c>
      <c r="I143" s="215">
        <f aca="true" t="shared" si="19" ref="I143:I167">G143/$G$611*100</f>
        <v>0</v>
      </c>
      <c r="J143" s="6"/>
    </row>
    <row r="144" spans="1:10" ht="28.5" customHeight="1">
      <c r="A144" s="249" t="s">
        <v>562</v>
      </c>
      <c r="B144" s="132"/>
      <c r="C144" s="205">
        <v>415200</v>
      </c>
      <c r="D144" s="88" t="s">
        <v>561</v>
      </c>
      <c r="E144" s="154">
        <v>10000</v>
      </c>
      <c r="F144" s="196">
        <f t="shared" si="18"/>
        <v>-500</v>
      </c>
      <c r="G144" s="154">
        <v>9500</v>
      </c>
      <c r="H144" s="148">
        <f t="shared" si="17"/>
        <v>95</v>
      </c>
      <c r="I144" s="215">
        <f t="shared" si="19"/>
        <v>0.029668956901936293</v>
      </c>
      <c r="J144" s="6"/>
    </row>
    <row r="145" spans="1:10" ht="25.5">
      <c r="A145" s="129" t="s">
        <v>161</v>
      </c>
      <c r="B145" s="130"/>
      <c r="C145" s="66">
        <v>415200</v>
      </c>
      <c r="D145" s="125" t="s">
        <v>606</v>
      </c>
      <c r="E145" s="154">
        <v>47610</v>
      </c>
      <c r="F145" s="196">
        <f t="shared" si="18"/>
        <v>15000</v>
      </c>
      <c r="G145" s="154">
        <v>62610</v>
      </c>
      <c r="H145" s="148">
        <f t="shared" si="17"/>
        <v>131.5059861373661</v>
      </c>
      <c r="I145" s="215">
        <f t="shared" si="19"/>
        <v>0.19553404122423487</v>
      </c>
      <c r="J145" s="6"/>
    </row>
    <row r="146" spans="1:10" ht="12.75">
      <c r="A146" s="129" t="s">
        <v>162</v>
      </c>
      <c r="B146" s="130"/>
      <c r="C146" s="66">
        <v>415200</v>
      </c>
      <c r="D146" s="125" t="s">
        <v>432</v>
      </c>
      <c r="E146" s="196">
        <v>10566</v>
      </c>
      <c r="F146" s="196">
        <f t="shared" si="18"/>
        <v>0</v>
      </c>
      <c r="G146" s="196">
        <v>10566</v>
      </c>
      <c r="H146" s="148">
        <f t="shared" si="17"/>
        <v>100</v>
      </c>
      <c r="I146" s="215">
        <f t="shared" si="19"/>
        <v>0.03299812617114303</v>
      </c>
      <c r="J146" s="6"/>
    </row>
    <row r="147" spans="1:10" ht="12.75">
      <c r="A147" s="129" t="s">
        <v>162</v>
      </c>
      <c r="B147" s="130"/>
      <c r="C147" s="66">
        <v>415200</v>
      </c>
      <c r="D147" s="125" t="s">
        <v>624</v>
      </c>
      <c r="E147" s="196">
        <v>30000</v>
      </c>
      <c r="F147" s="196">
        <f t="shared" si="18"/>
        <v>12000</v>
      </c>
      <c r="G147" s="196">
        <v>42000</v>
      </c>
      <c r="H147" s="148">
        <f t="shared" si="17"/>
        <v>140</v>
      </c>
      <c r="I147" s="215">
        <f t="shared" si="19"/>
        <v>0.1311680199875078</v>
      </c>
      <c r="J147" s="6"/>
    </row>
    <row r="148" spans="1:10" ht="15" customHeight="1">
      <c r="A148" s="129" t="s">
        <v>162</v>
      </c>
      <c r="B148" s="130"/>
      <c r="C148" s="66">
        <v>415200</v>
      </c>
      <c r="D148" s="125" t="s">
        <v>480</v>
      </c>
      <c r="E148" s="154">
        <v>9434</v>
      </c>
      <c r="F148" s="196">
        <f t="shared" si="18"/>
        <v>-1037.7000000000007</v>
      </c>
      <c r="G148" s="154">
        <v>8396.3</v>
      </c>
      <c r="H148" s="148">
        <f t="shared" si="17"/>
        <v>89.000423998304</v>
      </c>
      <c r="I148" s="215">
        <f t="shared" si="19"/>
        <v>0.02622204871955028</v>
      </c>
      <c r="J148" s="6"/>
    </row>
    <row r="149" spans="1:10" ht="15" customHeight="1">
      <c r="A149" s="129" t="s">
        <v>487</v>
      </c>
      <c r="B149" s="130"/>
      <c r="C149" s="66">
        <v>415200</v>
      </c>
      <c r="D149" s="93" t="s">
        <v>486</v>
      </c>
      <c r="E149" s="154">
        <v>10000</v>
      </c>
      <c r="F149" s="196">
        <f t="shared" si="18"/>
        <v>-500</v>
      </c>
      <c r="G149" s="154">
        <v>9500</v>
      </c>
      <c r="H149" s="148">
        <f t="shared" si="17"/>
        <v>95</v>
      </c>
      <c r="I149" s="215">
        <f t="shared" si="19"/>
        <v>0.029668956901936293</v>
      </c>
      <c r="J149" s="6"/>
    </row>
    <row r="150" spans="1:10" ht="24.75" customHeight="1">
      <c r="A150" s="129" t="s">
        <v>160</v>
      </c>
      <c r="B150" s="130"/>
      <c r="C150" s="66">
        <v>415200</v>
      </c>
      <c r="D150" s="93" t="s">
        <v>644</v>
      </c>
      <c r="E150" s="154">
        <v>26880</v>
      </c>
      <c r="F150" s="196">
        <f t="shared" si="18"/>
        <v>0</v>
      </c>
      <c r="G150" s="154">
        <v>26880</v>
      </c>
      <c r="H150" s="148">
        <f t="shared" si="17"/>
        <v>100</v>
      </c>
      <c r="I150" s="215">
        <f t="shared" si="19"/>
        <v>0.083947532792005</v>
      </c>
      <c r="J150" s="6"/>
    </row>
    <row r="151" spans="1:10" ht="29.25" customHeight="1">
      <c r="A151" s="129" t="s">
        <v>32</v>
      </c>
      <c r="B151" s="130"/>
      <c r="C151" s="66">
        <v>415200</v>
      </c>
      <c r="D151" s="93" t="s">
        <v>638</v>
      </c>
      <c r="E151" s="154">
        <v>1000</v>
      </c>
      <c r="F151" s="196">
        <f t="shared" si="18"/>
        <v>0</v>
      </c>
      <c r="G151" s="154">
        <v>1000</v>
      </c>
      <c r="H151" s="148">
        <f t="shared" si="17"/>
        <v>100</v>
      </c>
      <c r="I151" s="215">
        <f t="shared" si="19"/>
        <v>0.003123048094940662</v>
      </c>
      <c r="J151" s="6"/>
    </row>
    <row r="152" spans="1:10" ht="26.25" customHeight="1">
      <c r="A152" s="129" t="s">
        <v>150</v>
      </c>
      <c r="B152" s="130"/>
      <c r="C152" s="66">
        <v>415200</v>
      </c>
      <c r="D152" s="93" t="s">
        <v>639</v>
      </c>
      <c r="E152" s="154">
        <v>1000</v>
      </c>
      <c r="F152" s="196">
        <f t="shared" si="18"/>
        <v>0</v>
      </c>
      <c r="G152" s="154">
        <v>1000</v>
      </c>
      <c r="H152" s="148">
        <f t="shared" si="17"/>
        <v>100</v>
      </c>
      <c r="I152" s="215">
        <f t="shared" si="19"/>
        <v>0.003123048094940662</v>
      </c>
      <c r="J152" s="6"/>
    </row>
    <row r="153" spans="1:10" ht="14.25" customHeight="1">
      <c r="A153" s="129"/>
      <c r="B153" s="52">
        <v>416000</v>
      </c>
      <c r="C153" s="59"/>
      <c r="D153" s="143" t="s">
        <v>1</v>
      </c>
      <c r="E153" s="183">
        <f>SUM(E154:E162)</f>
        <v>737800</v>
      </c>
      <c r="F153" s="183">
        <f>SUM(F154:F162)</f>
        <v>32600</v>
      </c>
      <c r="G153" s="183">
        <f>SUM(G154:G162)</f>
        <v>770400</v>
      </c>
      <c r="H153" s="145">
        <f t="shared" si="17"/>
        <v>104.41854161019246</v>
      </c>
      <c r="I153" s="146">
        <f t="shared" si="19"/>
        <v>2.405996252342286</v>
      </c>
      <c r="J153" s="6"/>
    </row>
    <row r="154" spans="1:10" ht="12.75" customHeight="1">
      <c r="A154" s="131" t="s">
        <v>150</v>
      </c>
      <c r="B154" s="132"/>
      <c r="C154" s="66">
        <v>416100</v>
      </c>
      <c r="D154" s="88" t="s">
        <v>177</v>
      </c>
      <c r="E154" s="154">
        <v>219800</v>
      </c>
      <c r="F154" s="154">
        <f>G154-E154</f>
        <v>10000</v>
      </c>
      <c r="G154" s="196">
        <v>229800</v>
      </c>
      <c r="H154" s="148">
        <f t="shared" si="17"/>
        <v>104.5495905368517</v>
      </c>
      <c r="I154" s="215">
        <f t="shared" si="19"/>
        <v>0.7176764522173642</v>
      </c>
      <c r="J154" s="6"/>
    </row>
    <row r="155" spans="1:10" ht="12" customHeight="1">
      <c r="A155" s="131" t="s">
        <v>150</v>
      </c>
      <c r="B155" s="132"/>
      <c r="C155" s="66">
        <v>416100</v>
      </c>
      <c r="D155" s="88" t="s">
        <v>398</v>
      </c>
      <c r="E155" s="154">
        <v>25000</v>
      </c>
      <c r="F155" s="154">
        <f aca="true" t="shared" si="20" ref="F155:F162">G155-E155</f>
        <v>10100</v>
      </c>
      <c r="G155" s="154">
        <v>35100</v>
      </c>
      <c r="H155" s="148">
        <f t="shared" si="17"/>
        <v>140.39999999999998</v>
      </c>
      <c r="I155" s="215">
        <f t="shared" si="19"/>
        <v>0.10961898813241723</v>
      </c>
      <c r="J155" s="6"/>
    </row>
    <row r="156" spans="1:10" ht="12.75" customHeight="1" hidden="1">
      <c r="A156" s="131" t="s">
        <v>150</v>
      </c>
      <c r="B156" s="132"/>
      <c r="C156" s="66">
        <v>416100</v>
      </c>
      <c r="D156" s="88" t="s">
        <v>433</v>
      </c>
      <c r="E156" s="154">
        <v>0</v>
      </c>
      <c r="F156" s="154">
        <f t="shared" si="20"/>
        <v>0</v>
      </c>
      <c r="G156" s="154">
        <v>0</v>
      </c>
      <c r="H156" s="148" t="e">
        <f t="shared" si="17"/>
        <v>#DIV/0!</v>
      </c>
      <c r="I156" s="215">
        <f t="shared" si="19"/>
        <v>0</v>
      </c>
      <c r="J156" s="6"/>
    </row>
    <row r="157" spans="1:10" ht="12.75" customHeight="1">
      <c r="A157" s="131" t="s">
        <v>28</v>
      </c>
      <c r="B157" s="206"/>
      <c r="C157" s="205">
        <v>416100</v>
      </c>
      <c r="D157" s="125" t="s">
        <v>97</v>
      </c>
      <c r="E157" s="154">
        <v>73000</v>
      </c>
      <c r="F157" s="154">
        <f t="shared" si="20"/>
        <v>0</v>
      </c>
      <c r="G157" s="154">
        <v>73000</v>
      </c>
      <c r="H157" s="148">
        <f t="shared" si="17"/>
        <v>100</v>
      </c>
      <c r="I157" s="215">
        <f t="shared" si="19"/>
        <v>0.22798251093066832</v>
      </c>
      <c r="J157" s="6"/>
    </row>
    <row r="158" spans="1:10" ht="13.5" customHeight="1">
      <c r="A158" s="131" t="s">
        <v>666</v>
      </c>
      <c r="B158" s="206"/>
      <c r="C158" s="66">
        <v>416100</v>
      </c>
      <c r="D158" s="125" t="s">
        <v>665</v>
      </c>
      <c r="E158" s="154">
        <v>10000</v>
      </c>
      <c r="F158" s="154">
        <f t="shared" si="20"/>
        <v>28500</v>
      </c>
      <c r="G158" s="154">
        <v>38500</v>
      </c>
      <c r="H158" s="148">
        <f t="shared" si="17"/>
        <v>385</v>
      </c>
      <c r="I158" s="215">
        <f t="shared" si="19"/>
        <v>0.12023735165521549</v>
      </c>
      <c r="J158" s="6"/>
    </row>
    <row r="159" spans="1:10" ht="25.5" customHeight="1">
      <c r="A159" s="131" t="s">
        <v>28</v>
      </c>
      <c r="B159" s="206"/>
      <c r="C159" s="66">
        <v>416100</v>
      </c>
      <c r="D159" s="125" t="s">
        <v>405</v>
      </c>
      <c r="E159" s="154">
        <v>15000</v>
      </c>
      <c r="F159" s="154">
        <f t="shared" si="20"/>
        <v>0</v>
      </c>
      <c r="G159" s="154">
        <v>15000</v>
      </c>
      <c r="H159" s="148">
        <f t="shared" si="17"/>
        <v>100</v>
      </c>
      <c r="I159" s="215">
        <f t="shared" si="19"/>
        <v>0.046845721424109935</v>
      </c>
      <c r="J159" s="6"/>
    </row>
    <row r="160" spans="1:10" s="386" customFormat="1" ht="12.75">
      <c r="A160" s="249" t="s">
        <v>160</v>
      </c>
      <c r="B160" s="384"/>
      <c r="C160" s="205">
        <v>416100</v>
      </c>
      <c r="D160" s="125" t="s">
        <v>604</v>
      </c>
      <c r="E160" s="148">
        <v>130000</v>
      </c>
      <c r="F160" s="154">
        <f t="shared" si="20"/>
        <v>-12000</v>
      </c>
      <c r="G160" s="148">
        <v>118000</v>
      </c>
      <c r="H160" s="148">
        <f t="shared" si="17"/>
        <v>90.76923076923077</v>
      </c>
      <c r="I160" s="215">
        <f t="shared" si="19"/>
        <v>0.3685196752029981</v>
      </c>
      <c r="J160" s="385"/>
    </row>
    <row r="161" spans="1:10" ht="24" customHeight="1">
      <c r="A161" s="131" t="s">
        <v>160</v>
      </c>
      <c r="B161" s="206"/>
      <c r="C161" s="66">
        <v>416100</v>
      </c>
      <c r="D161" s="125" t="s">
        <v>241</v>
      </c>
      <c r="E161" s="152">
        <v>15000</v>
      </c>
      <c r="F161" s="154">
        <f t="shared" si="20"/>
        <v>0</v>
      </c>
      <c r="G161" s="152">
        <v>15000</v>
      </c>
      <c r="H161" s="148">
        <f t="shared" si="17"/>
        <v>100</v>
      </c>
      <c r="I161" s="215">
        <f t="shared" si="19"/>
        <v>0.046845721424109935</v>
      </c>
      <c r="J161" s="6"/>
    </row>
    <row r="162" spans="1:10" ht="15.75" customHeight="1">
      <c r="A162" s="207" t="s">
        <v>26</v>
      </c>
      <c r="B162" s="206"/>
      <c r="C162" s="66">
        <v>416100</v>
      </c>
      <c r="D162" s="125" t="s">
        <v>622</v>
      </c>
      <c r="E162" s="152">
        <v>250000</v>
      </c>
      <c r="F162" s="154">
        <f t="shared" si="20"/>
        <v>-4000</v>
      </c>
      <c r="G162" s="152">
        <v>246000</v>
      </c>
      <c r="H162" s="148">
        <f t="shared" si="17"/>
        <v>98.4</v>
      </c>
      <c r="I162" s="215">
        <f t="shared" si="19"/>
        <v>0.7682698313554029</v>
      </c>
      <c r="J162" s="6"/>
    </row>
    <row r="163" spans="1:10" ht="15" customHeight="1">
      <c r="A163" s="207"/>
      <c r="B163" s="52">
        <v>487000</v>
      </c>
      <c r="C163" s="66"/>
      <c r="D163" s="208" t="s">
        <v>337</v>
      </c>
      <c r="E163" s="149">
        <f>SUM(E164:E166)</f>
        <v>18000</v>
      </c>
      <c r="F163" s="149">
        <f>SUM(F164:F166)</f>
        <v>0</v>
      </c>
      <c r="G163" s="149">
        <f>SUM(G164:G166)</f>
        <v>18000</v>
      </c>
      <c r="H163" s="145">
        <f t="shared" si="17"/>
        <v>100</v>
      </c>
      <c r="I163" s="146">
        <f t="shared" si="19"/>
        <v>0.05621486570893192</v>
      </c>
      <c r="J163" s="6"/>
    </row>
    <row r="164" spans="1:10" ht="12" customHeight="1">
      <c r="A164" s="207" t="s">
        <v>26</v>
      </c>
      <c r="B164" s="52"/>
      <c r="C164" s="66">
        <v>487900</v>
      </c>
      <c r="D164" s="88" t="s">
        <v>146</v>
      </c>
      <c r="E164" s="154">
        <v>8000</v>
      </c>
      <c r="F164" s="154">
        <f>G164-E164</f>
        <v>0</v>
      </c>
      <c r="G164" s="154">
        <v>8000</v>
      </c>
      <c r="H164" s="148">
        <f t="shared" si="17"/>
        <v>100</v>
      </c>
      <c r="I164" s="215">
        <f t="shared" si="19"/>
        <v>0.024984384759525295</v>
      </c>
      <c r="J164" s="6"/>
    </row>
    <row r="165" spans="1:10" ht="13.5" customHeight="1" hidden="1">
      <c r="A165" s="131" t="s">
        <v>26</v>
      </c>
      <c r="B165" s="206"/>
      <c r="C165" s="66">
        <v>487900</v>
      </c>
      <c r="D165" s="88" t="s">
        <v>467</v>
      </c>
      <c r="E165" s="154"/>
      <c r="F165" s="154">
        <f>G165-E165</f>
        <v>0</v>
      </c>
      <c r="G165" s="154"/>
      <c r="H165" s="148" t="e">
        <f t="shared" si="17"/>
        <v>#DIV/0!</v>
      </c>
      <c r="I165" s="215">
        <f t="shared" si="19"/>
        <v>0</v>
      </c>
      <c r="J165" s="6"/>
    </row>
    <row r="166" spans="1:10" ht="12.75" customHeight="1">
      <c r="A166" s="129" t="s">
        <v>26</v>
      </c>
      <c r="B166" s="132"/>
      <c r="C166" s="66">
        <v>487900</v>
      </c>
      <c r="D166" s="88" t="s">
        <v>271</v>
      </c>
      <c r="E166" s="154">
        <v>10000</v>
      </c>
      <c r="F166" s="154">
        <f>G166-E166</f>
        <v>0</v>
      </c>
      <c r="G166" s="154">
        <v>10000</v>
      </c>
      <c r="H166" s="148">
        <f t="shared" si="17"/>
        <v>100</v>
      </c>
      <c r="I166" s="215">
        <f t="shared" si="19"/>
        <v>0.03123048094940662</v>
      </c>
      <c r="J166" s="6"/>
    </row>
    <row r="167" spans="1:10" ht="24" customHeight="1">
      <c r="A167" s="507"/>
      <c r="B167" s="508"/>
      <c r="C167" s="501" t="s">
        <v>205</v>
      </c>
      <c r="D167" s="505"/>
      <c r="E167" s="167">
        <f>E111+E115+E117+E153+E163</f>
        <v>1916256.15</v>
      </c>
      <c r="F167" s="167">
        <f>F111+F115+F117+F153+F163</f>
        <v>139757.3</v>
      </c>
      <c r="G167" s="167">
        <f>G111+G115+G117+G153+G163</f>
        <v>2056013.45</v>
      </c>
      <c r="H167" s="382">
        <f t="shared" si="17"/>
        <v>107.29324730412478</v>
      </c>
      <c r="I167" s="422">
        <f t="shared" si="19"/>
        <v>6.421028888194878</v>
      </c>
      <c r="J167" s="6"/>
    </row>
    <row r="168" spans="1:10" ht="9.75" customHeight="1">
      <c r="A168" s="507"/>
      <c r="B168" s="508"/>
      <c r="C168" s="503" t="s">
        <v>577</v>
      </c>
      <c r="D168" s="503"/>
      <c r="E168" s="197"/>
      <c r="F168" s="197"/>
      <c r="G168" s="197"/>
      <c r="H168" s="197"/>
      <c r="I168" s="198"/>
      <c r="J168" s="6"/>
    </row>
    <row r="169" spans="1:10" ht="9.75" customHeight="1">
      <c r="A169" s="507"/>
      <c r="B169" s="508"/>
      <c r="C169" s="503"/>
      <c r="D169" s="503"/>
      <c r="E169" s="199"/>
      <c r="F169" s="199"/>
      <c r="G169" s="199"/>
      <c r="H169" s="199"/>
      <c r="I169" s="200"/>
      <c r="J169" s="6"/>
    </row>
    <row r="170" spans="1:10" ht="21.75" customHeight="1">
      <c r="A170" s="507"/>
      <c r="B170" s="508"/>
      <c r="C170" s="503"/>
      <c r="D170" s="503"/>
      <c r="E170" s="201"/>
      <c r="F170" s="201"/>
      <c r="G170" s="201"/>
      <c r="H170" s="201"/>
      <c r="I170" s="202"/>
      <c r="J170" s="6"/>
    </row>
    <row r="171" spans="1:10" ht="14.25" customHeight="1">
      <c r="A171" s="129"/>
      <c r="B171" s="52">
        <v>412000</v>
      </c>
      <c r="C171" s="59"/>
      <c r="D171" s="143" t="s">
        <v>119</v>
      </c>
      <c r="E171" s="145">
        <f>SUM(E172:E175)</f>
        <v>54900</v>
      </c>
      <c r="F171" s="145">
        <f>SUM(F172:F176)</f>
        <v>119950</v>
      </c>
      <c r="G171" s="145">
        <f>SUM(G172:G176)</f>
        <v>174850</v>
      </c>
      <c r="H171" s="145">
        <f>G171/E171*100</f>
        <v>318.488160291439</v>
      </c>
      <c r="I171" s="146">
        <f aca="true" t="shared" si="21" ref="I171:I178">G171/$G$611*100</f>
        <v>0.5460649594003748</v>
      </c>
      <c r="J171" s="6"/>
    </row>
    <row r="172" spans="1:10" ht="24.75" customHeight="1">
      <c r="A172" s="129" t="s">
        <v>34</v>
      </c>
      <c r="B172" s="52"/>
      <c r="C172" s="66">
        <v>412700</v>
      </c>
      <c r="D172" s="88" t="s">
        <v>167</v>
      </c>
      <c r="E172" s="152">
        <v>12500</v>
      </c>
      <c r="F172" s="152">
        <f>G172-E172</f>
        <v>-500</v>
      </c>
      <c r="G172" s="152">
        <v>12000</v>
      </c>
      <c r="H172" s="148">
        <f aca="true" t="shared" si="22" ref="H172:H182">G172/E172*100</f>
        <v>96</v>
      </c>
      <c r="I172" s="215">
        <f t="shared" si="21"/>
        <v>0.037476577139287946</v>
      </c>
      <c r="J172" s="6"/>
    </row>
    <row r="173" spans="1:10" ht="25.5" customHeight="1">
      <c r="A173" s="129" t="s">
        <v>34</v>
      </c>
      <c r="B173" s="52"/>
      <c r="C173" s="66">
        <v>412700</v>
      </c>
      <c r="D173" s="88" t="s">
        <v>99</v>
      </c>
      <c r="E173" s="196">
        <v>20000</v>
      </c>
      <c r="F173" s="152">
        <f>G173-E173</f>
        <v>-2500</v>
      </c>
      <c r="G173" s="196">
        <v>17500</v>
      </c>
      <c r="H173" s="148">
        <f t="shared" si="22"/>
        <v>87.5</v>
      </c>
      <c r="I173" s="215">
        <f t="shared" si="21"/>
        <v>0.05465334166146158</v>
      </c>
      <c r="J173" s="6"/>
    </row>
    <row r="174" spans="1:10" ht="12.75">
      <c r="A174" s="129" t="s">
        <v>23</v>
      </c>
      <c r="B174" s="132"/>
      <c r="C174" s="66">
        <v>412900</v>
      </c>
      <c r="D174" s="88" t="s">
        <v>24</v>
      </c>
      <c r="E174" s="152">
        <v>400</v>
      </c>
      <c r="F174" s="152">
        <f>G174-E174</f>
        <v>-50</v>
      </c>
      <c r="G174" s="152">
        <v>350</v>
      </c>
      <c r="H174" s="148">
        <f t="shared" si="22"/>
        <v>87.5</v>
      </c>
      <c r="I174" s="215">
        <f t="shared" si="21"/>
        <v>0.0010930668332292317</v>
      </c>
      <c r="J174" s="6"/>
    </row>
    <row r="175" spans="1:10" ht="24" customHeight="1">
      <c r="A175" s="129" t="s">
        <v>23</v>
      </c>
      <c r="B175" s="132"/>
      <c r="C175" s="66">
        <v>412900</v>
      </c>
      <c r="D175" s="88" t="s">
        <v>98</v>
      </c>
      <c r="E175" s="152">
        <v>22000</v>
      </c>
      <c r="F175" s="152">
        <f>G175-E175</f>
        <v>0</v>
      </c>
      <c r="G175" s="152">
        <v>22000</v>
      </c>
      <c r="H175" s="148">
        <f t="shared" si="22"/>
        <v>100</v>
      </c>
      <c r="I175" s="215">
        <f t="shared" si="21"/>
        <v>0.06870705808869457</v>
      </c>
      <c r="J175" s="6"/>
    </row>
    <row r="176" spans="1:10" ht="18" customHeight="1">
      <c r="A176" s="129" t="s">
        <v>34</v>
      </c>
      <c r="B176" s="132"/>
      <c r="C176" s="66">
        <v>412900</v>
      </c>
      <c r="D176" s="125" t="s">
        <v>719</v>
      </c>
      <c r="E176" s="152">
        <v>0</v>
      </c>
      <c r="F176" s="152">
        <f>G176-E176</f>
        <v>123000</v>
      </c>
      <c r="G176" s="148">
        <v>123000</v>
      </c>
      <c r="H176" s="148" t="e">
        <f t="shared" si="22"/>
        <v>#DIV/0!</v>
      </c>
      <c r="I176" s="215">
        <f t="shared" si="21"/>
        <v>0.38413491567770147</v>
      </c>
      <c r="J176" s="6"/>
    </row>
    <row r="177" spans="1:10" ht="16.5" customHeight="1" hidden="1">
      <c r="A177" s="129"/>
      <c r="B177" s="52">
        <v>414000</v>
      </c>
      <c r="C177" s="66"/>
      <c r="D177" s="143" t="s">
        <v>174</v>
      </c>
      <c r="E177" s="145">
        <f>SUM(E178)</f>
        <v>0</v>
      </c>
      <c r="F177" s="145">
        <f>SUM(F178)</f>
        <v>0</v>
      </c>
      <c r="G177" s="145">
        <f>SUM(G178)</f>
        <v>0</v>
      </c>
      <c r="H177" s="145" t="e">
        <f t="shared" si="22"/>
        <v>#DIV/0!</v>
      </c>
      <c r="I177" s="146">
        <f t="shared" si="21"/>
        <v>0</v>
      </c>
      <c r="J177" s="6"/>
    </row>
    <row r="178" spans="1:10" ht="0.75" customHeight="1" hidden="1">
      <c r="A178" s="129" t="s">
        <v>34</v>
      </c>
      <c r="B178" s="132"/>
      <c r="C178" s="66">
        <v>414100</v>
      </c>
      <c r="D178" s="88" t="s">
        <v>414</v>
      </c>
      <c r="E178" s="153">
        <v>0</v>
      </c>
      <c r="F178" s="153">
        <v>0</v>
      </c>
      <c r="G178" s="153">
        <v>0</v>
      </c>
      <c r="H178" s="145" t="e">
        <f t="shared" si="22"/>
        <v>#DIV/0!</v>
      </c>
      <c r="I178" s="146">
        <f t="shared" si="21"/>
        <v>0</v>
      </c>
      <c r="J178" s="6"/>
    </row>
    <row r="179" spans="1:10" ht="0.75" customHeight="1" hidden="1">
      <c r="A179" s="129"/>
      <c r="B179" s="132"/>
      <c r="C179" s="66"/>
      <c r="D179" s="88"/>
      <c r="E179" s="154"/>
      <c r="F179" s="154"/>
      <c r="G179" s="154"/>
      <c r="H179" s="145"/>
      <c r="I179" s="146"/>
      <c r="J179" s="6"/>
    </row>
    <row r="180" spans="1:10" ht="12.75">
      <c r="A180" s="129"/>
      <c r="B180" s="52">
        <v>416100</v>
      </c>
      <c r="C180" s="66"/>
      <c r="D180" s="143" t="s">
        <v>1</v>
      </c>
      <c r="E180" s="145">
        <f>SUM(E181)</f>
        <v>5000</v>
      </c>
      <c r="F180" s="145">
        <f>SUM(F181)</f>
        <v>0</v>
      </c>
      <c r="G180" s="145">
        <f>SUM(G181)</f>
        <v>5000</v>
      </c>
      <c r="H180" s="145">
        <f t="shared" si="22"/>
        <v>100</v>
      </c>
      <c r="I180" s="146">
        <f>G180/$G$611*100</f>
        <v>0.01561524047470331</v>
      </c>
      <c r="J180" s="6"/>
    </row>
    <row r="181" spans="1:10" ht="12.75">
      <c r="A181" s="129" t="s">
        <v>34</v>
      </c>
      <c r="B181" s="132"/>
      <c r="C181" s="66">
        <v>416100</v>
      </c>
      <c r="D181" s="88" t="s">
        <v>414</v>
      </c>
      <c r="E181" s="69">
        <v>5000</v>
      </c>
      <c r="F181" s="69">
        <f>G181-E181</f>
        <v>0</v>
      </c>
      <c r="G181" s="69">
        <v>5000</v>
      </c>
      <c r="H181" s="148">
        <f t="shared" si="22"/>
        <v>100</v>
      </c>
      <c r="I181" s="215">
        <f>G181/$G$611*100</f>
        <v>0.01561524047470331</v>
      </c>
      <c r="J181" s="6"/>
    </row>
    <row r="182" spans="1:10" ht="30" customHeight="1">
      <c r="A182" s="507"/>
      <c r="B182" s="508"/>
      <c r="C182" s="501" t="s">
        <v>209</v>
      </c>
      <c r="D182" s="505"/>
      <c r="E182" s="167">
        <f>E171+E177+E180</f>
        <v>59900</v>
      </c>
      <c r="F182" s="167">
        <f>F171+F177+F180</f>
        <v>119950</v>
      </c>
      <c r="G182" s="167">
        <f>G171+G177+G180</f>
        <v>179850</v>
      </c>
      <c r="H182" s="382">
        <f t="shared" si="22"/>
        <v>300.25041736227047</v>
      </c>
      <c r="I182" s="422">
        <f>G182/$G$611*100</f>
        <v>0.5616801998750781</v>
      </c>
      <c r="J182" s="6"/>
    </row>
    <row r="183" spans="1:10" ht="9.75" customHeight="1">
      <c r="A183" s="507"/>
      <c r="B183" s="508"/>
      <c r="C183" s="503" t="s">
        <v>576</v>
      </c>
      <c r="D183" s="503"/>
      <c r="E183" s="197"/>
      <c r="F183" s="197"/>
      <c r="G183" s="197"/>
      <c r="H183" s="197"/>
      <c r="I183" s="198"/>
      <c r="J183" s="6"/>
    </row>
    <row r="184" spans="1:10" ht="9.75" customHeight="1">
      <c r="A184" s="507"/>
      <c r="B184" s="508"/>
      <c r="C184" s="503"/>
      <c r="D184" s="503"/>
      <c r="E184" s="199"/>
      <c r="F184" s="199"/>
      <c r="G184" s="199"/>
      <c r="H184" s="199"/>
      <c r="I184" s="200"/>
      <c r="J184" s="6"/>
    </row>
    <row r="185" spans="1:10" ht="9.75" customHeight="1">
      <c r="A185" s="507"/>
      <c r="B185" s="508"/>
      <c r="C185" s="503"/>
      <c r="D185" s="503"/>
      <c r="E185" s="199"/>
      <c r="F185" s="199"/>
      <c r="G185" s="199"/>
      <c r="H185" s="199"/>
      <c r="I185" s="200"/>
      <c r="J185" s="6"/>
    </row>
    <row r="186" spans="1:10" ht="11.25" customHeight="1">
      <c r="A186" s="507"/>
      <c r="B186" s="508"/>
      <c r="C186" s="503"/>
      <c r="D186" s="503"/>
      <c r="E186" s="201"/>
      <c r="F186" s="201"/>
      <c r="G186" s="201"/>
      <c r="H186" s="201"/>
      <c r="I186" s="202"/>
      <c r="J186" s="6"/>
    </row>
    <row r="187" spans="1:10" ht="14.25" customHeight="1">
      <c r="A187" s="129"/>
      <c r="B187" s="52">
        <v>412000</v>
      </c>
      <c r="C187" s="78"/>
      <c r="D187" s="143" t="s">
        <v>119</v>
      </c>
      <c r="E187" s="145">
        <f>SUM(E188:E194)</f>
        <v>188800</v>
      </c>
      <c r="F187" s="145">
        <f>SUM(F188:F194)</f>
        <v>0</v>
      </c>
      <c r="G187" s="145">
        <f>SUM(G188:G194)</f>
        <v>188800</v>
      </c>
      <c r="H187" s="145">
        <f>G187/E187*100</f>
        <v>100</v>
      </c>
      <c r="I187" s="146">
        <f aca="true" t="shared" si="23" ref="I187:I218">G187/$G$611*100</f>
        <v>0.589631480324797</v>
      </c>
      <c r="J187" s="6"/>
    </row>
    <row r="188" spans="1:10" ht="14.25" customHeight="1">
      <c r="A188" s="129" t="s">
        <v>23</v>
      </c>
      <c r="B188" s="52"/>
      <c r="C188" s="66">
        <v>412100</v>
      </c>
      <c r="D188" s="88" t="s">
        <v>229</v>
      </c>
      <c r="E188" s="154">
        <v>40000</v>
      </c>
      <c r="F188" s="154">
        <f aca="true" t="shared" si="24" ref="F188:F194">G188-E188</f>
        <v>0</v>
      </c>
      <c r="G188" s="154">
        <v>40000</v>
      </c>
      <c r="H188" s="148">
        <f aca="true" t="shared" si="25" ref="H188:H240">G188/E188*100</f>
        <v>100</v>
      </c>
      <c r="I188" s="215">
        <f t="shared" si="23"/>
        <v>0.12492192379762648</v>
      </c>
      <c r="J188" s="6"/>
    </row>
    <row r="189" spans="1:10" ht="25.5">
      <c r="A189" s="129" t="s">
        <v>23</v>
      </c>
      <c r="B189" s="52"/>
      <c r="C189" s="66">
        <v>412200</v>
      </c>
      <c r="D189" s="88" t="s">
        <v>468</v>
      </c>
      <c r="E189" s="154">
        <v>60000</v>
      </c>
      <c r="F189" s="154">
        <f t="shared" si="24"/>
        <v>0</v>
      </c>
      <c r="G189" s="154">
        <v>60000</v>
      </c>
      <c r="H189" s="148">
        <f t="shared" si="25"/>
        <v>100</v>
      </c>
      <c r="I189" s="215">
        <f t="shared" si="23"/>
        <v>0.18738288569643974</v>
      </c>
      <c r="J189" s="6"/>
    </row>
    <row r="190" spans="1:10" ht="12.75" customHeight="1">
      <c r="A190" s="131" t="s">
        <v>23</v>
      </c>
      <c r="B190" s="132"/>
      <c r="C190" s="203">
        <v>412700</v>
      </c>
      <c r="D190" s="93" t="s">
        <v>168</v>
      </c>
      <c r="E190" s="154">
        <v>10000</v>
      </c>
      <c r="F190" s="154">
        <f t="shared" si="24"/>
        <v>0</v>
      </c>
      <c r="G190" s="154">
        <v>10000</v>
      </c>
      <c r="H190" s="148">
        <f t="shared" si="25"/>
        <v>100</v>
      </c>
      <c r="I190" s="215">
        <f t="shared" si="23"/>
        <v>0.03123048094940662</v>
      </c>
      <c r="J190" s="6"/>
    </row>
    <row r="191" spans="1:10" ht="12.75" customHeight="1">
      <c r="A191" s="131" t="s">
        <v>23</v>
      </c>
      <c r="B191" s="132"/>
      <c r="C191" s="203">
        <v>412700</v>
      </c>
      <c r="D191" s="93" t="s">
        <v>126</v>
      </c>
      <c r="E191" s="154">
        <v>900</v>
      </c>
      <c r="F191" s="154">
        <f t="shared" si="24"/>
        <v>0</v>
      </c>
      <c r="G191" s="154">
        <v>900</v>
      </c>
      <c r="H191" s="148">
        <f t="shared" si="25"/>
        <v>100</v>
      </c>
      <c r="I191" s="215">
        <f t="shared" si="23"/>
        <v>0.0028107432854465957</v>
      </c>
      <c r="J191" s="6"/>
    </row>
    <row r="192" spans="1:10" ht="23.25" customHeight="1">
      <c r="A192" s="129" t="s">
        <v>23</v>
      </c>
      <c r="B192" s="132"/>
      <c r="C192" s="66">
        <v>412900</v>
      </c>
      <c r="D192" s="88" t="s">
        <v>230</v>
      </c>
      <c r="E192" s="154">
        <v>75500</v>
      </c>
      <c r="F192" s="154">
        <f t="shared" si="24"/>
        <v>0</v>
      </c>
      <c r="G192" s="154">
        <v>75500</v>
      </c>
      <c r="H192" s="148">
        <f t="shared" si="25"/>
        <v>100</v>
      </c>
      <c r="I192" s="215">
        <f t="shared" si="23"/>
        <v>0.23579013116801997</v>
      </c>
      <c r="J192" s="6"/>
    </row>
    <row r="193" spans="1:10" ht="12.75" customHeight="1">
      <c r="A193" s="129" t="s">
        <v>23</v>
      </c>
      <c r="B193" s="132"/>
      <c r="C193" s="66">
        <v>412900</v>
      </c>
      <c r="D193" s="88" t="s">
        <v>0</v>
      </c>
      <c r="E193" s="152">
        <v>400</v>
      </c>
      <c r="F193" s="154">
        <f t="shared" si="24"/>
        <v>0</v>
      </c>
      <c r="G193" s="152">
        <v>400</v>
      </c>
      <c r="H193" s="148">
        <f t="shared" si="25"/>
        <v>100</v>
      </c>
      <c r="I193" s="215">
        <f t="shared" si="23"/>
        <v>0.0012492192379762648</v>
      </c>
      <c r="J193" s="6"/>
    </row>
    <row r="194" spans="1:10" ht="12.75" customHeight="1">
      <c r="A194" s="129" t="s">
        <v>23</v>
      </c>
      <c r="B194" s="132"/>
      <c r="C194" s="66">
        <v>412900</v>
      </c>
      <c r="D194" s="88" t="s">
        <v>645</v>
      </c>
      <c r="E194" s="152">
        <v>2000</v>
      </c>
      <c r="F194" s="154">
        <f t="shared" si="24"/>
        <v>0</v>
      </c>
      <c r="G194" s="152">
        <v>2000</v>
      </c>
      <c r="H194" s="148">
        <f t="shared" si="25"/>
        <v>100</v>
      </c>
      <c r="I194" s="215">
        <f t="shared" si="23"/>
        <v>0.006246096189881324</v>
      </c>
      <c r="J194" s="6"/>
    </row>
    <row r="195" spans="1:10" ht="15" customHeight="1">
      <c r="A195" s="129"/>
      <c r="B195" s="52"/>
      <c r="C195" s="66"/>
      <c r="D195" s="143" t="s">
        <v>185</v>
      </c>
      <c r="E195" s="183">
        <f>SUM(E196:E203)</f>
        <v>652845</v>
      </c>
      <c r="F195" s="183">
        <f>SUM(F196:F203)</f>
        <v>5000</v>
      </c>
      <c r="G195" s="183">
        <f>SUM(G196:G203)</f>
        <v>657845</v>
      </c>
      <c r="H195" s="145">
        <f t="shared" si="25"/>
        <v>100.7658785776103</v>
      </c>
      <c r="I195" s="146">
        <f t="shared" si="23"/>
        <v>2.05448157401624</v>
      </c>
      <c r="J195" s="6"/>
    </row>
    <row r="196" spans="1:10" ht="48.75" customHeight="1">
      <c r="A196" s="131" t="s">
        <v>36</v>
      </c>
      <c r="B196" s="132"/>
      <c r="C196" s="97">
        <v>412800</v>
      </c>
      <c r="D196" s="93" t="s">
        <v>568</v>
      </c>
      <c r="E196" s="152">
        <v>130100</v>
      </c>
      <c r="F196" s="152">
        <f>G196-E196</f>
        <v>0</v>
      </c>
      <c r="G196" s="152">
        <v>130100</v>
      </c>
      <c r="H196" s="148">
        <f t="shared" si="25"/>
        <v>100</v>
      </c>
      <c r="I196" s="215">
        <f t="shared" si="23"/>
        <v>0.4063085571517801</v>
      </c>
      <c r="J196" s="6"/>
    </row>
    <row r="197" spans="1:10" ht="40.5" customHeight="1">
      <c r="A197" s="131" t="s">
        <v>36</v>
      </c>
      <c r="B197" s="132"/>
      <c r="C197" s="97">
        <v>412800</v>
      </c>
      <c r="D197" s="93" t="s">
        <v>488</v>
      </c>
      <c r="E197" s="154">
        <v>120000</v>
      </c>
      <c r="F197" s="152">
        <f aca="true" t="shared" si="26" ref="F197:F203">G197-E197</f>
        <v>0</v>
      </c>
      <c r="G197" s="196">
        <v>120000</v>
      </c>
      <c r="H197" s="148">
        <f t="shared" si="25"/>
        <v>100</v>
      </c>
      <c r="I197" s="215">
        <f t="shared" si="23"/>
        <v>0.3747657713928795</v>
      </c>
      <c r="J197" s="6"/>
    </row>
    <row r="198" spans="1:10" ht="14.25" customHeight="1">
      <c r="A198" s="131" t="s">
        <v>36</v>
      </c>
      <c r="B198" s="132"/>
      <c r="C198" s="97">
        <v>412800</v>
      </c>
      <c r="D198" s="93" t="s">
        <v>489</v>
      </c>
      <c r="E198" s="154">
        <v>72745</v>
      </c>
      <c r="F198" s="152">
        <f t="shared" si="26"/>
        <v>0</v>
      </c>
      <c r="G198" s="154">
        <v>72745</v>
      </c>
      <c r="H198" s="148">
        <f t="shared" si="25"/>
        <v>100</v>
      </c>
      <c r="I198" s="215">
        <f t="shared" si="23"/>
        <v>0.22718613366645846</v>
      </c>
      <c r="J198" s="6"/>
    </row>
    <row r="199" spans="1:10" ht="25.5">
      <c r="A199" s="131" t="s">
        <v>36</v>
      </c>
      <c r="B199" s="132"/>
      <c r="C199" s="97">
        <v>412800</v>
      </c>
      <c r="D199" s="93" t="s">
        <v>112</v>
      </c>
      <c r="E199" s="154">
        <v>200000</v>
      </c>
      <c r="F199" s="152">
        <f t="shared" si="26"/>
        <v>0</v>
      </c>
      <c r="G199" s="154">
        <v>200000</v>
      </c>
      <c r="H199" s="148">
        <f t="shared" si="25"/>
        <v>100</v>
      </c>
      <c r="I199" s="215">
        <f t="shared" si="23"/>
        <v>0.6246096189881324</v>
      </c>
      <c r="J199" s="6"/>
    </row>
    <row r="200" spans="1:10" ht="12.75">
      <c r="A200" s="131" t="s">
        <v>36</v>
      </c>
      <c r="B200" s="132"/>
      <c r="C200" s="97">
        <v>412800</v>
      </c>
      <c r="D200" s="93" t="s">
        <v>623</v>
      </c>
      <c r="E200" s="154">
        <v>80000</v>
      </c>
      <c r="F200" s="152">
        <f t="shared" si="26"/>
        <v>0</v>
      </c>
      <c r="G200" s="154">
        <v>80000</v>
      </c>
      <c r="H200" s="148">
        <f t="shared" si="25"/>
        <v>100</v>
      </c>
      <c r="I200" s="215">
        <f t="shared" si="23"/>
        <v>0.24984384759525297</v>
      </c>
      <c r="J200" s="6"/>
    </row>
    <row r="201" spans="1:10" ht="12.75">
      <c r="A201" s="131" t="s">
        <v>36</v>
      </c>
      <c r="B201" s="132"/>
      <c r="C201" s="132">
        <v>412800</v>
      </c>
      <c r="D201" s="75" t="s">
        <v>179</v>
      </c>
      <c r="E201" s="196">
        <v>5000</v>
      </c>
      <c r="F201" s="152">
        <f t="shared" si="26"/>
        <v>5000</v>
      </c>
      <c r="G201" s="196">
        <v>10000</v>
      </c>
      <c r="H201" s="148">
        <f t="shared" si="25"/>
        <v>200</v>
      </c>
      <c r="I201" s="215">
        <f t="shared" si="23"/>
        <v>0.03123048094940662</v>
      </c>
      <c r="J201" s="6"/>
    </row>
    <row r="202" spans="1:10" ht="12.75">
      <c r="A202" s="131" t="s">
        <v>36</v>
      </c>
      <c r="B202" s="132"/>
      <c r="C202" s="97">
        <v>412800</v>
      </c>
      <c r="D202" s="93" t="s">
        <v>37</v>
      </c>
      <c r="E202" s="196">
        <v>20000</v>
      </c>
      <c r="F202" s="152">
        <f t="shared" si="26"/>
        <v>0</v>
      </c>
      <c r="G202" s="196">
        <v>20000</v>
      </c>
      <c r="H202" s="148">
        <f t="shared" si="25"/>
        <v>100</v>
      </c>
      <c r="I202" s="215">
        <f t="shared" si="23"/>
        <v>0.06246096189881324</v>
      </c>
      <c r="J202" s="6"/>
    </row>
    <row r="203" spans="1:10" ht="25.5" customHeight="1">
      <c r="A203" s="131" t="s">
        <v>36</v>
      </c>
      <c r="B203" s="132"/>
      <c r="C203" s="97">
        <v>412800</v>
      </c>
      <c r="D203" s="93" t="s">
        <v>115</v>
      </c>
      <c r="E203" s="196">
        <v>25000</v>
      </c>
      <c r="F203" s="152">
        <f t="shared" si="26"/>
        <v>0</v>
      </c>
      <c r="G203" s="196">
        <v>25000</v>
      </c>
      <c r="H203" s="148">
        <f t="shared" si="25"/>
        <v>100</v>
      </c>
      <c r="I203" s="215">
        <f t="shared" si="23"/>
        <v>0.07807620237351655</v>
      </c>
      <c r="J203" s="6"/>
    </row>
    <row r="204" spans="1:10" ht="16.5" customHeight="1">
      <c r="A204" s="129"/>
      <c r="B204" s="132"/>
      <c r="C204" s="96"/>
      <c r="D204" s="92" t="s">
        <v>38</v>
      </c>
      <c r="E204" s="183">
        <f>SUM(E205:E210)</f>
        <v>280000</v>
      </c>
      <c r="F204" s="183">
        <f>SUM(F205:F210)</f>
        <v>68000</v>
      </c>
      <c r="G204" s="183">
        <f>SUM(G205:G210)</f>
        <v>348000</v>
      </c>
      <c r="H204" s="145">
        <f t="shared" si="25"/>
        <v>124.28571428571429</v>
      </c>
      <c r="I204" s="146">
        <f t="shared" si="23"/>
        <v>1.0868207370393503</v>
      </c>
      <c r="J204" s="6"/>
    </row>
    <row r="205" spans="1:10" ht="24.75" customHeight="1">
      <c r="A205" s="129" t="s">
        <v>39</v>
      </c>
      <c r="B205" s="132"/>
      <c r="C205" s="97">
        <v>412500</v>
      </c>
      <c r="D205" s="93" t="s">
        <v>396</v>
      </c>
      <c r="E205" s="152">
        <v>165000</v>
      </c>
      <c r="F205" s="152">
        <f aca="true" t="shared" si="27" ref="F205:F210">G205-E205</f>
        <v>80000</v>
      </c>
      <c r="G205" s="148">
        <f>165000+80000</f>
        <v>245000</v>
      </c>
      <c r="H205" s="148">
        <f t="shared" si="25"/>
        <v>148.4848484848485</v>
      </c>
      <c r="I205" s="215">
        <f t="shared" si="23"/>
        <v>0.7651467832604621</v>
      </c>
      <c r="J205" s="6"/>
    </row>
    <row r="206" spans="1:10" ht="22.5" customHeight="1" hidden="1">
      <c r="A206" s="129" t="s">
        <v>39</v>
      </c>
      <c r="B206" s="132"/>
      <c r="C206" s="97">
        <v>412500</v>
      </c>
      <c r="D206" s="93" t="s">
        <v>240</v>
      </c>
      <c r="E206" s="152"/>
      <c r="F206" s="152">
        <f t="shared" si="27"/>
        <v>0</v>
      </c>
      <c r="G206" s="152"/>
      <c r="H206" s="148" t="e">
        <f t="shared" si="25"/>
        <v>#DIV/0!</v>
      </c>
      <c r="I206" s="215">
        <f t="shared" si="23"/>
        <v>0</v>
      </c>
      <c r="J206" s="6"/>
    </row>
    <row r="207" spans="1:10" ht="24.75" customHeight="1">
      <c r="A207" s="129" t="s">
        <v>39</v>
      </c>
      <c r="B207" s="132"/>
      <c r="C207" s="97">
        <v>412500</v>
      </c>
      <c r="D207" s="75" t="s">
        <v>172</v>
      </c>
      <c r="E207" s="152">
        <v>20000</v>
      </c>
      <c r="F207" s="152">
        <f t="shared" si="27"/>
        <v>0</v>
      </c>
      <c r="G207" s="148">
        <v>20000</v>
      </c>
      <c r="H207" s="148">
        <f t="shared" si="25"/>
        <v>100</v>
      </c>
      <c r="I207" s="215">
        <f t="shared" si="23"/>
        <v>0.06246096189881324</v>
      </c>
      <c r="J207" s="6"/>
    </row>
    <row r="208" spans="1:10" ht="15.75" customHeight="1">
      <c r="A208" s="129" t="s">
        <v>39</v>
      </c>
      <c r="B208" s="132"/>
      <c r="C208" s="97">
        <v>412500</v>
      </c>
      <c r="D208" s="125" t="s">
        <v>726</v>
      </c>
      <c r="E208" s="154">
        <v>30000</v>
      </c>
      <c r="F208" s="152">
        <f t="shared" si="27"/>
        <v>-12000</v>
      </c>
      <c r="G208" s="196">
        <v>18000</v>
      </c>
      <c r="H208" s="148">
        <f t="shared" si="25"/>
        <v>60</v>
      </c>
      <c r="I208" s="215">
        <f t="shared" si="23"/>
        <v>0.05621486570893192</v>
      </c>
      <c r="J208" s="6"/>
    </row>
    <row r="209" spans="1:10" ht="12.75">
      <c r="A209" s="129" t="s">
        <v>39</v>
      </c>
      <c r="B209" s="132"/>
      <c r="C209" s="97">
        <v>412500</v>
      </c>
      <c r="D209" s="93" t="s">
        <v>40</v>
      </c>
      <c r="E209" s="154">
        <v>60000</v>
      </c>
      <c r="F209" s="152">
        <f t="shared" si="27"/>
        <v>0</v>
      </c>
      <c r="G209" s="154">
        <v>60000</v>
      </c>
      <c r="H209" s="148">
        <f t="shared" si="25"/>
        <v>100</v>
      </c>
      <c r="I209" s="215">
        <f t="shared" si="23"/>
        <v>0.18738288569643974</v>
      </c>
      <c r="J209" s="6"/>
    </row>
    <row r="210" spans="1:10" ht="10.5" customHeight="1">
      <c r="A210" s="129" t="s">
        <v>39</v>
      </c>
      <c r="B210" s="132"/>
      <c r="C210" s="97">
        <v>412500</v>
      </c>
      <c r="D210" s="93" t="s">
        <v>41</v>
      </c>
      <c r="E210" s="154">
        <v>5000</v>
      </c>
      <c r="F210" s="152">
        <f t="shared" si="27"/>
        <v>0</v>
      </c>
      <c r="G210" s="154">
        <v>5000</v>
      </c>
      <c r="H210" s="148">
        <f t="shared" si="25"/>
        <v>100</v>
      </c>
      <c r="I210" s="215">
        <f t="shared" si="23"/>
        <v>0.01561524047470331</v>
      </c>
      <c r="J210" s="6"/>
    </row>
    <row r="211" spans="1:10" ht="14.25" customHeight="1" hidden="1">
      <c r="A211" s="129"/>
      <c r="B211" s="52">
        <v>414000</v>
      </c>
      <c r="C211" s="97"/>
      <c r="D211" s="92" t="s">
        <v>174</v>
      </c>
      <c r="E211" s="183">
        <f>SUM(E212)</f>
        <v>0</v>
      </c>
      <c r="F211" s="183">
        <f>SUM(F212)</f>
        <v>0</v>
      </c>
      <c r="G211" s="183">
        <f>SUM(G212)</f>
        <v>0</v>
      </c>
      <c r="H211" s="145" t="e">
        <f t="shared" si="25"/>
        <v>#DIV/0!</v>
      </c>
      <c r="I211" s="146">
        <f t="shared" si="23"/>
        <v>0</v>
      </c>
      <c r="J211" s="6"/>
    </row>
    <row r="212" spans="1:10" ht="12.75" customHeight="1" hidden="1">
      <c r="A212" s="129" t="s">
        <v>28</v>
      </c>
      <c r="B212" s="132"/>
      <c r="C212" s="97">
        <v>414100</v>
      </c>
      <c r="D212" s="93" t="s">
        <v>440</v>
      </c>
      <c r="E212" s="152">
        <v>0</v>
      </c>
      <c r="F212" s="152">
        <v>0</v>
      </c>
      <c r="G212" s="152">
        <v>0</v>
      </c>
      <c r="H212" s="145" t="e">
        <f t="shared" si="25"/>
        <v>#DIV/0!</v>
      </c>
      <c r="I212" s="146">
        <f t="shared" si="23"/>
        <v>0</v>
      </c>
      <c r="J212" s="6"/>
    </row>
    <row r="213" spans="1:10" ht="12.75">
      <c r="A213" s="129"/>
      <c r="B213" s="52">
        <v>415000</v>
      </c>
      <c r="C213" s="97"/>
      <c r="D213" s="92" t="s">
        <v>133</v>
      </c>
      <c r="E213" s="183">
        <f>SUM(E214:E214)</f>
        <v>25000</v>
      </c>
      <c r="F213" s="183">
        <f>SUM(F214:F214)</f>
        <v>0</v>
      </c>
      <c r="G213" s="183">
        <f>SUM(G214:G214)</f>
        <v>25000</v>
      </c>
      <c r="H213" s="145">
        <f t="shared" si="25"/>
        <v>100</v>
      </c>
      <c r="I213" s="146">
        <f t="shared" si="23"/>
        <v>0.07807620237351655</v>
      </c>
      <c r="J213" s="6"/>
    </row>
    <row r="214" spans="1:10" ht="12.75">
      <c r="A214" s="129" t="s">
        <v>36</v>
      </c>
      <c r="B214" s="52"/>
      <c r="C214" s="97">
        <v>415200</v>
      </c>
      <c r="D214" s="93" t="s">
        <v>616</v>
      </c>
      <c r="E214" s="196">
        <v>25000</v>
      </c>
      <c r="F214" s="148">
        <f>G214-E214</f>
        <v>0</v>
      </c>
      <c r="G214" s="196">
        <v>25000</v>
      </c>
      <c r="H214" s="148">
        <f t="shared" si="25"/>
        <v>100</v>
      </c>
      <c r="I214" s="215">
        <f t="shared" si="23"/>
        <v>0.07807620237351655</v>
      </c>
      <c r="J214" s="6"/>
    </row>
    <row r="215" spans="1:10" ht="12.75">
      <c r="A215" s="131"/>
      <c r="B215" s="52">
        <v>416000</v>
      </c>
      <c r="C215" s="97"/>
      <c r="D215" s="325" t="s">
        <v>1</v>
      </c>
      <c r="E215" s="183">
        <f>SUM(E216)</f>
        <v>600</v>
      </c>
      <c r="F215" s="183">
        <f>SUM(F216)</f>
        <v>-300</v>
      </c>
      <c r="G215" s="183">
        <f>SUM(G216)</f>
        <v>300</v>
      </c>
      <c r="H215" s="145">
        <f t="shared" si="25"/>
        <v>50</v>
      </c>
      <c r="I215" s="146">
        <f t="shared" si="23"/>
        <v>0.0009369144284821986</v>
      </c>
      <c r="J215" s="6"/>
    </row>
    <row r="216" spans="1:10" ht="12.75">
      <c r="A216" s="131" t="s">
        <v>28</v>
      </c>
      <c r="B216" s="132"/>
      <c r="C216" s="97">
        <v>416100</v>
      </c>
      <c r="D216" s="125" t="s">
        <v>440</v>
      </c>
      <c r="E216" s="154">
        <v>600</v>
      </c>
      <c r="F216" s="154">
        <f>G216-E216</f>
        <v>-300</v>
      </c>
      <c r="G216" s="154">
        <v>300</v>
      </c>
      <c r="H216" s="148">
        <f t="shared" si="25"/>
        <v>50</v>
      </c>
      <c r="I216" s="215">
        <f t="shared" si="23"/>
        <v>0.0009369144284821986</v>
      </c>
      <c r="J216" s="6"/>
    </row>
    <row r="217" spans="1:10" ht="12.75">
      <c r="A217" s="129"/>
      <c r="B217" s="52">
        <v>511000</v>
      </c>
      <c r="C217" s="132"/>
      <c r="D217" s="143" t="s">
        <v>137</v>
      </c>
      <c r="E217" s="183">
        <f>SUM(E218:E219)</f>
        <v>66000</v>
      </c>
      <c r="F217" s="183">
        <f>SUM(F218:F219)</f>
        <v>-60500</v>
      </c>
      <c r="G217" s="183">
        <f>SUM(G218:G219)</f>
        <v>5500</v>
      </c>
      <c r="H217" s="145">
        <f t="shared" si="25"/>
        <v>8.333333333333332</v>
      </c>
      <c r="I217" s="146">
        <f t="shared" si="23"/>
        <v>0.017176764522173642</v>
      </c>
      <c r="J217" s="6"/>
    </row>
    <row r="218" spans="1:10" ht="23.25" customHeight="1">
      <c r="A218" s="129" t="s">
        <v>36</v>
      </c>
      <c r="B218" s="132"/>
      <c r="C218" s="206">
        <v>511200</v>
      </c>
      <c r="D218" s="125" t="s">
        <v>482</v>
      </c>
      <c r="E218" s="154">
        <v>5000</v>
      </c>
      <c r="F218" s="154">
        <f>G218-E218</f>
        <v>500</v>
      </c>
      <c r="G218" s="154">
        <v>5500</v>
      </c>
      <c r="H218" s="148">
        <f t="shared" si="25"/>
        <v>110.00000000000001</v>
      </c>
      <c r="I218" s="215">
        <f t="shared" si="23"/>
        <v>0.017176764522173642</v>
      </c>
      <c r="J218" s="6"/>
    </row>
    <row r="219" spans="1:10" ht="20.25" customHeight="1">
      <c r="A219" s="129" t="s">
        <v>664</v>
      </c>
      <c r="B219" s="132"/>
      <c r="C219" s="206">
        <v>511300</v>
      </c>
      <c r="D219" s="125" t="s">
        <v>727</v>
      </c>
      <c r="E219" s="154">
        <v>61000</v>
      </c>
      <c r="F219" s="154">
        <f>G219-E219</f>
        <v>-61000</v>
      </c>
      <c r="G219" s="196">
        <v>0</v>
      </c>
      <c r="H219" s="148">
        <f t="shared" si="25"/>
        <v>0</v>
      </c>
      <c r="I219" s="215">
        <f aca="true" t="shared" si="28" ref="I219:I240">G219/$G$611*100</f>
        <v>0</v>
      </c>
      <c r="J219" s="6"/>
    </row>
    <row r="220" spans="1:10" ht="16.5" customHeight="1">
      <c r="A220" s="129"/>
      <c r="B220" s="132"/>
      <c r="C220" s="85"/>
      <c r="D220" s="92" t="s">
        <v>399</v>
      </c>
      <c r="E220" s="183">
        <f>E221+E229</f>
        <v>7703300</v>
      </c>
      <c r="F220" s="183">
        <f>F221+F229</f>
        <v>464000</v>
      </c>
      <c r="G220" s="183">
        <f>G221+G229</f>
        <v>8167300</v>
      </c>
      <c r="H220" s="145">
        <f t="shared" si="25"/>
        <v>106.02339257201459</v>
      </c>
      <c r="I220" s="146">
        <f t="shared" si="28"/>
        <v>25.506870705808872</v>
      </c>
      <c r="J220" s="6"/>
    </row>
    <row r="221" spans="1:10" ht="14.25" customHeight="1">
      <c r="A221" s="129"/>
      <c r="B221" s="132"/>
      <c r="C221" s="85"/>
      <c r="D221" s="92" t="s">
        <v>293</v>
      </c>
      <c r="E221" s="209">
        <f>SUM(E223:E228)</f>
        <v>2703300</v>
      </c>
      <c r="F221" s="209">
        <f>SUM(F223:F228)</f>
        <v>1764000</v>
      </c>
      <c r="G221" s="209">
        <f>SUM(G223:G228)</f>
        <v>4467300</v>
      </c>
      <c r="H221" s="210">
        <f t="shared" si="25"/>
        <v>165.25357895905003</v>
      </c>
      <c r="I221" s="420">
        <f t="shared" si="28"/>
        <v>13.95159275452842</v>
      </c>
      <c r="J221" s="6"/>
    </row>
    <row r="222" spans="1:10" ht="12.75" customHeight="1" hidden="1">
      <c r="A222" s="211" t="s">
        <v>36</v>
      </c>
      <c r="B222" s="212"/>
      <c r="C222" s="213">
        <v>511100</v>
      </c>
      <c r="D222" s="214" t="s">
        <v>434</v>
      </c>
      <c r="E222" s="154">
        <v>0</v>
      </c>
      <c r="F222" s="154">
        <v>0</v>
      </c>
      <c r="G222" s="154">
        <v>0</v>
      </c>
      <c r="H222" s="145" t="e">
        <f t="shared" si="25"/>
        <v>#DIV/0!</v>
      </c>
      <c r="I222" s="146">
        <f t="shared" si="28"/>
        <v>0</v>
      </c>
      <c r="J222" s="16"/>
    </row>
    <row r="223" spans="1:10" ht="38.25">
      <c r="A223" s="211" t="s">
        <v>36</v>
      </c>
      <c r="B223" s="212"/>
      <c r="C223" s="213">
        <v>511200</v>
      </c>
      <c r="D223" s="214" t="s">
        <v>285</v>
      </c>
      <c r="E223" s="196">
        <v>2213300</v>
      </c>
      <c r="F223" s="196">
        <f aca="true" t="shared" si="29" ref="F223:F228">G223-E223</f>
        <v>294000</v>
      </c>
      <c r="G223" s="196">
        <f>2213300+221000+73000</f>
        <v>2507300</v>
      </c>
      <c r="H223" s="148">
        <f t="shared" si="25"/>
        <v>113.28333258030993</v>
      </c>
      <c r="I223" s="215">
        <f t="shared" si="28"/>
        <v>7.830418488444722</v>
      </c>
      <c r="J223" s="330"/>
    </row>
    <row r="224" spans="1:10" ht="38.25">
      <c r="A224" s="387" t="s">
        <v>36</v>
      </c>
      <c r="B224" s="212"/>
      <c r="C224" s="213">
        <v>511200</v>
      </c>
      <c r="D224" s="214" t="s">
        <v>725</v>
      </c>
      <c r="E224" s="196">
        <v>0</v>
      </c>
      <c r="F224" s="196">
        <f t="shared" si="29"/>
        <v>1000000</v>
      </c>
      <c r="G224" s="196">
        <v>1000000</v>
      </c>
      <c r="H224" s="148" t="e">
        <f t="shared" si="25"/>
        <v>#DIV/0!</v>
      </c>
      <c r="I224" s="215">
        <f t="shared" si="28"/>
        <v>3.1230480949406623</v>
      </c>
      <c r="J224" s="330"/>
    </row>
    <row r="225" spans="1:10" ht="38.25">
      <c r="A225" s="387" t="s">
        <v>36</v>
      </c>
      <c r="B225" s="212"/>
      <c r="C225" s="213">
        <v>511200</v>
      </c>
      <c r="D225" s="214" t="s">
        <v>723</v>
      </c>
      <c r="E225" s="196">
        <v>0</v>
      </c>
      <c r="F225" s="196">
        <f t="shared" si="29"/>
        <v>170000</v>
      </c>
      <c r="G225" s="196">
        <v>170000</v>
      </c>
      <c r="H225" s="148" t="e">
        <f t="shared" si="25"/>
        <v>#DIV/0!</v>
      </c>
      <c r="I225" s="215">
        <f t="shared" si="28"/>
        <v>0.5309181761399125</v>
      </c>
      <c r="J225" s="330"/>
    </row>
    <row r="226" spans="1:10" ht="38.25">
      <c r="A226" s="387" t="s">
        <v>36</v>
      </c>
      <c r="B226" s="212"/>
      <c r="C226" s="213">
        <v>511200</v>
      </c>
      <c r="D226" s="214" t="s">
        <v>724</v>
      </c>
      <c r="E226" s="196">
        <v>0</v>
      </c>
      <c r="F226" s="196">
        <f t="shared" si="29"/>
        <v>390000</v>
      </c>
      <c r="G226" s="196">
        <v>390000</v>
      </c>
      <c r="H226" s="148" t="e">
        <f t="shared" si="25"/>
        <v>#DIV/0!</v>
      </c>
      <c r="I226" s="215">
        <f t="shared" si="28"/>
        <v>1.2179887570268582</v>
      </c>
      <c r="J226" s="330"/>
    </row>
    <row r="227" spans="1:10" ht="12.75">
      <c r="A227" s="387" t="s">
        <v>36</v>
      </c>
      <c r="B227" s="388"/>
      <c r="C227" s="389">
        <v>511200</v>
      </c>
      <c r="D227" s="390" t="s">
        <v>602</v>
      </c>
      <c r="E227" s="196">
        <v>390000</v>
      </c>
      <c r="F227" s="196">
        <f t="shared" si="29"/>
        <v>0</v>
      </c>
      <c r="G227" s="196">
        <v>390000</v>
      </c>
      <c r="H227" s="148">
        <f t="shared" si="25"/>
        <v>100</v>
      </c>
      <c r="I227" s="215">
        <f t="shared" si="28"/>
        <v>1.2179887570268582</v>
      </c>
      <c r="J227" s="330"/>
    </row>
    <row r="228" spans="1:10" ht="12.75">
      <c r="A228" s="387" t="s">
        <v>36</v>
      </c>
      <c r="B228" s="388"/>
      <c r="C228" s="389">
        <v>511200</v>
      </c>
      <c r="D228" s="390" t="s">
        <v>600</v>
      </c>
      <c r="E228" s="196">
        <v>100000</v>
      </c>
      <c r="F228" s="196">
        <f t="shared" si="29"/>
        <v>-90000</v>
      </c>
      <c r="G228" s="196">
        <v>10000</v>
      </c>
      <c r="H228" s="148">
        <f t="shared" si="25"/>
        <v>10</v>
      </c>
      <c r="I228" s="215">
        <f t="shared" si="28"/>
        <v>0.03123048094940662</v>
      </c>
      <c r="J228" s="330"/>
    </row>
    <row r="229" spans="1:10" ht="12.75">
      <c r="A229" s="216"/>
      <c r="B229" s="212"/>
      <c r="C229" s="213"/>
      <c r="D229" s="340" t="s">
        <v>492</v>
      </c>
      <c r="E229" s="341">
        <f>SUM(E230:E236)</f>
        <v>5000000</v>
      </c>
      <c r="F229" s="341">
        <f>SUM(F230:F236)</f>
        <v>-1300000</v>
      </c>
      <c r="G229" s="341">
        <f>SUM(G230:G236)</f>
        <v>3700000</v>
      </c>
      <c r="H229" s="342">
        <f t="shared" si="25"/>
        <v>74</v>
      </c>
      <c r="I229" s="343">
        <f t="shared" si="28"/>
        <v>11.55527795128045</v>
      </c>
      <c r="J229" s="6"/>
    </row>
    <row r="230" spans="1:10" ht="12.75">
      <c r="A230" s="216" t="s">
        <v>36</v>
      </c>
      <c r="B230" s="212"/>
      <c r="C230" s="213">
        <v>511200</v>
      </c>
      <c r="D230" s="403" t="s">
        <v>608</v>
      </c>
      <c r="E230" s="338">
        <v>1300000</v>
      </c>
      <c r="F230" s="338">
        <f>G230-E230</f>
        <v>0</v>
      </c>
      <c r="G230" s="338">
        <v>1300000</v>
      </c>
      <c r="H230" s="148">
        <f t="shared" si="25"/>
        <v>100</v>
      </c>
      <c r="I230" s="215">
        <f t="shared" si="28"/>
        <v>4.059962523422861</v>
      </c>
      <c r="J230" s="6"/>
    </row>
    <row r="231" spans="1:10" ht="12.75">
      <c r="A231" s="216" t="s">
        <v>36</v>
      </c>
      <c r="B231" s="212"/>
      <c r="C231" s="213">
        <v>511200</v>
      </c>
      <c r="D231" s="403" t="s">
        <v>609</v>
      </c>
      <c r="E231" s="338">
        <v>1000000</v>
      </c>
      <c r="F231" s="338">
        <f aca="true" t="shared" si="30" ref="F231:F236">G231-E231</f>
        <v>0</v>
      </c>
      <c r="G231" s="338">
        <v>1000000</v>
      </c>
      <c r="H231" s="148">
        <f t="shared" si="25"/>
        <v>100</v>
      </c>
      <c r="I231" s="215">
        <f t="shared" si="28"/>
        <v>3.1230480949406623</v>
      </c>
      <c r="J231" s="6"/>
    </row>
    <row r="232" spans="1:10" ht="12.75">
      <c r="A232" s="216" t="s">
        <v>36</v>
      </c>
      <c r="B232" s="212"/>
      <c r="C232" s="213">
        <v>511200</v>
      </c>
      <c r="D232" s="403" t="s">
        <v>610</v>
      </c>
      <c r="E232" s="338">
        <v>1000000</v>
      </c>
      <c r="F232" s="338">
        <f t="shared" si="30"/>
        <v>-850000</v>
      </c>
      <c r="G232" s="338">
        <v>150000</v>
      </c>
      <c r="H232" s="148">
        <f t="shared" si="25"/>
        <v>15</v>
      </c>
      <c r="I232" s="215">
        <f t="shared" si="28"/>
        <v>0.4684572142410993</v>
      </c>
      <c r="J232" s="6"/>
    </row>
    <row r="233" spans="1:10" ht="12.75">
      <c r="A233" s="216" t="s">
        <v>36</v>
      </c>
      <c r="B233" s="212"/>
      <c r="C233" s="213">
        <v>511200</v>
      </c>
      <c r="D233" s="403" t="s">
        <v>611</v>
      </c>
      <c r="E233" s="338">
        <v>950000</v>
      </c>
      <c r="F233" s="338">
        <f t="shared" si="30"/>
        <v>0</v>
      </c>
      <c r="G233" s="338">
        <v>950000</v>
      </c>
      <c r="H233" s="148">
        <f t="shared" si="25"/>
        <v>100</v>
      </c>
      <c r="I233" s="215">
        <f t="shared" si="28"/>
        <v>2.966895690193629</v>
      </c>
      <c r="J233" s="6"/>
    </row>
    <row r="234" spans="1:10" ht="25.5">
      <c r="A234" s="216" t="s">
        <v>36</v>
      </c>
      <c r="B234" s="212"/>
      <c r="C234" s="213">
        <v>511200</v>
      </c>
      <c r="D234" s="403" t="s">
        <v>621</v>
      </c>
      <c r="E234" s="338">
        <v>250000</v>
      </c>
      <c r="F234" s="338">
        <f t="shared" si="30"/>
        <v>0</v>
      </c>
      <c r="G234" s="338">
        <v>250000</v>
      </c>
      <c r="H234" s="148">
        <f t="shared" si="25"/>
        <v>100</v>
      </c>
      <c r="I234" s="215">
        <f t="shared" si="28"/>
        <v>0.7807620237351656</v>
      </c>
      <c r="J234" s="6"/>
    </row>
    <row r="235" spans="1:10" ht="25.5">
      <c r="A235" s="216" t="s">
        <v>36</v>
      </c>
      <c r="B235" s="212"/>
      <c r="C235" s="213">
        <v>511200</v>
      </c>
      <c r="D235" s="403" t="s">
        <v>612</v>
      </c>
      <c r="E235" s="338">
        <v>250000</v>
      </c>
      <c r="F235" s="338">
        <f t="shared" si="30"/>
        <v>-250000</v>
      </c>
      <c r="G235" s="338">
        <v>0</v>
      </c>
      <c r="H235" s="148">
        <f t="shared" si="25"/>
        <v>0</v>
      </c>
      <c r="I235" s="215">
        <f t="shared" si="28"/>
        <v>0</v>
      </c>
      <c r="J235" s="6"/>
    </row>
    <row r="236" spans="1:10" ht="39" customHeight="1">
      <c r="A236" s="216" t="s">
        <v>36</v>
      </c>
      <c r="B236" s="212"/>
      <c r="C236" s="213">
        <v>511200</v>
      </c>
      <c r="D236" s="403" t="s">
        <v>613</v>
      </c>
      <c r="E236" s="338">
        <v>250000</v>
      </c>
      <c r="F236" s="338">
        <f t="shared" si="30"/>
        <v>-200000</v>
      </c>
      <c r="G236" s="338">
        <v>50000</v>
      </c>
      <c r="H236" s="148">
        <f t="shared" si="25"/>
        <v>20</v>
      </c>
      <c r="I236" s="215">
        <f t="shared" si="28"/>
        <v>0.1561524047470331</v>
      </c>
      <c r="J236" s="6"/>
    </row>
    <row r="237" spans="1:10" ht="12.75" customHeight="1" hidden="1">
      <c r="A237" s="216"/>
      <c r="B237" s="212"/>
      <c r="C237" s="213"/>
      <c r="D237" s="340"/>
      <c r="E237" s="402"/>
      <c r="F237" s="402"/>
      <c r="G237" s="402"/>
      <c r="H237" s="145" t="e">
        <f t="shared" si="25"/>
        <v>#DIV/0!</v>
      </c>
      <c r="I237" s="146">
        <f t="shared" si="28"/>
        <v>0</v>
      </c>
      <c r="J237" s="6"/>
    </row>
    <row r="238" spans="1:10" ht="36" customHeight="1" hidden="1">
      <c r="A238" s="216" t="s">
        <v>36</v>
      </c>
      <c r="B238" s="212"/>
      <c r="C238" s="213">
        <v>511200</v>
      </c>
      <c r="D238" s="214" t="s">
        <v>285</v>
      </c>
      <c r="E238" s="154">
        <v>0</v>
      </c>
      <c r="F238" s="154">
        <v>0</v>
      </c>
      <c r="G238" s="154">
        <v>0</v>
      </c>
      <c r="H238" s="145" t="e">
        <f t="shared" si="25"/>
        <v>#DIV/0!</v>
      </c>
      <c r="I238" s="146">
        <f t="shared" si="28"/>
        <v>0</v>
      </c>
      <c r="J238" s="6"/>
    </row>
    <row r="239" spans="1:10" ht="14.25" customHeight="1" hidden="1">
      <c r="A239" s="217" t="s">
        <v>36</v>
      </c>
      <c r="B239" s="218"/>
      <c r="C239" s="77">
        <v>511200</v>
      </c>
      <c r="D239" s="125" t="s">
        <v>188</v>
      </c>
      <c r="E239" s="154">
        <v>0</v>
      </c>
      <c r="F239" s="154">
        <v>0</v>
      </c>
      <c r="G239" s="154">
        <v>0</v>
      </c>
      <c r="H239" s="145" t="e">
        <f t="shared" si="25"/>
        <v>#DIV/0!</v>
      </c>
      <c r="I239" s="146">
        <f t="shared" si="28"/>
        <v>0</v>
      </c>
      <c r="J239" s="6"/>
    </row>
    <row r="240" spans="1:10" ht="27" customHeight="1">
      <c r="A240" s="534"/>
      <c r="B240" s="535"/>
      <c r="C240" s="501" t="s">
        <v>81</v>
      </c>
      <c r="D240" s="505"/>
      <c r="E240" s="167">
        <f>E187+E195+E204+E211+E213+E215+E217+E220</f>
        <v>8916545</v>
      </c>
      <c r="F240" s="167">
        <f>F187+F195+F204+F211+F213+F215+F217+F220</f>
        <v>476200</v>
      </c>
      <c r="G240" s="167">
        <f>G187+G195+G204+G211+G213+G215+G217+G220</f>
        <v>9392745</v>
      </c>
      <c r="H240" s="382">
        <f t="shared" si="25"/>
        <v>105.34063361986061</v>
      </c>
      <c r="I240" s="422">
        <f t="shared" si="28"/>
        <v>29.333994378513427</v>
      </c>
      <c r="J240" s="6"/>
    </row>
    <row r="241" spans="1:10" ht="9.75" customHeight="1">
      <c r="A241" s="507"/>
      <c r="B241" s="508"/>
      <c r="C241" s="503" t="s">
        <v>575</v>
      </c>
      <c r="D241" s="503"/>
      <c r="E241" s="158"/>
      <c r="F241" s="158"/>
      <c r="G241" s="158"/>
      <c r="H241" s="158"/>
      <c r="I241" s="159"/>
      <c r="J241" s="6"/>
    </row>
    <row r="242" spans="1:10" ht="9.75" customHeight="1">
      <c r="A242" s="507"/>
      <c r="B242" s="508"/>
      <c r="C242" s="503"/>
      <c r="D242" s="503"/>
      <c r="E242" s="160"/>
      <c r="F242" s="160"/>
      <c r="G242" s="160"/>
      <c r="H242" s="160"/>
      <c r="I242" s="161"/>
      <c r="J242" s="6"/>
    </row>
    <row r="243" spans="1:10" ht="9.75" customHeight="1">
      <c r="A243" s="507"/>
      <c r="B243" s="508"/>
      <c r="C243" s="503"/>
      <c r="D243" s="503"/>
      <c r="E243" s="160"/>
      <c r="F243" s="160"/>
      <c r="G243" s="160"/>
      <c r="H243" s="160"/>
      <c r="I243" s="161"/>
      <c r="J243" s="6"/>
    </row>
    <row r="244" spans="1:10" ht="9" customHeight="1">
      <c r="A244" s="507"/>
      <c r="B244" s="508"/>
      <c r="C244" s="503"/>
      <c r="D244" s="503"/>
      <c r="E244" s="162"/>
      <c r="F244" s="162"/>
      <c r="G244" s="162"/>
      <c r="H244" s="162"/>
      <c r="I244" s="163"/>
      <c r="J244" s="6"/>
    </row>
    <row r="245" spans="1:10" ht="16.5" customHeight="1">
      <c r="A245" s="129"/>
      <c r="B245" s="52">
        <v>412000</v>
      </c>
      <c r="C245" s="66"/>
      <c r="D245" s="143" t="s">
        <v>119</v>
      </c>
      <c r="E245" s="145">
        <f>SUM(E246:E248)</f>
        <v>7700</v>
      </c>
      <c r="F245" s="145">
        <f>SUM(F246:F248)</f>
        <v>-35</v>
      </c>
      <c r="G245" s="145">
        <f>SUM(G246:G248)</f>
        <v>7665</v>
      </c>
      <c r="H245" s="145">
        <f>G245/E245*100</f>
        <v>99.54545454545455</v>
      </c>
      <c r="I245" s="146">
        <f aca="true" t="shared" si="31" ref="I245:I271">G245/$G$611*100</f>
        <v>0.023938163647720175</v>
      </c>
      <c r="J245" s="6"/>
    </row>
    <row r="246" spans="1:10" ht="14.25" customHeight="1">
      <c r="A246" s="129" t="s">
        <v>31</v>
      </c>
      <c r="B246" s="132"/>
      <c r="C246" s="66">
        <v>412500</v>
      </c>
      <c r="D246" s="93" t="s">
        <v>116</v>
      </c>
      <c r="E246" s="152">
        <v>7000</v>
      </c>
      <c r="F246" s="152">
        <f>G246-E246</f>
        <v>0</v>
      </c>
      <c r="G246" s="152">
        <v>7000</v>
      </c>
      <c r="H246" s="148">
        <f aca="true" t="shared" si="32" ref="H246:H271">G246/E246*100</f>
        <v>100</v>
      </c>
      <c r="I246" s="215">
        <f t="shared" si="31"/>
        <v>0.021861336664584636</v>
      </c>
      <c r="J246" s="6"/>
    </row>
    <row r="247" spans="1:10" ht="12.75" customHeight="1">
      <c r="A247" s="129" t="s">
        <v>23</v>
      </c>
      <c r="B247" s="132"/>
      <c r="C247" s="66">
        <v>412900</v>
      </c>
      <c r="D247" s="88" t="s">
        <v>0</v>
      </c>
      <c r="E247" s="152">
        <v>400</v>
      </c>
      <c r="F247" s="152">
        <f>G247-E247</f>
        <v>-20</v>
      </c>
      <c r="G247" s="152">
        <v>380</v>
      </c>
      <c r="H247" s="148">
        <f t="shared" si="32"/>
        <v>95</v>
      </c>
      <c r="I247" s="215">
        <f t="shared" si="31"/>
        <v>0.0011867582760774515</v>
      </c>
      <c r="J247" s="6"/>
    </row>
    <row r="248" spans="1:10" ht="23.25" customHeight="1">
      <c r="A248" s="131" t="s">
        <v>32</v>
      </c>
      <c r="B248" s="132"/>
      <c r="C248" s="66">
        <v>412900</v>
      </c>
      <c r="D248" s="88" t="s">
        <v>104</v>
      </c>
      <c r="E248" s="152">
        <v>300</v>
      </c>
      <c r="F248" s="152">
        <f>G248-E248</f>
        <v>-15</v>
      </c>
      <c r="G248" s="152">
        <v>285</v>
      </c>
      <c r="H248" s="148">
        <f t="shared" si="32"/>
        <v>95</v>
      </c>
      <c r="I248" s="215">
        <f t="shared" si="31"/>
        <v>0.0008900687070580888</v>
      </c>
      <c r="J248" s="6"/>
    </row>
    <row r="249" spans="1:10" ht="12.75" customHeight="1">
      <c r="A249" s="131"/>
      <c r="B249" s="155">
        <v>415000</v>
      </c>
      <c r="C249" s="66"/>
      <c r="D249" s="143" t="s">
        <v>133</v>
      </c>
      <c r="E249" s="183">
        <f>SUM(E250:E263)</f>
        <v>206900</v>
      </c>
      <c r="F249" s="183">
        <f>SUM(F250:F263)</f>
        <v>-9440</v>
      </c>
      <c r="G249" s="183">
        <f>SUM(G250:G263)</f>
        <v>197460</v>
      </c>
      <c r="H249" s="145">
        <f t="shared" si="32"/>
        <v>95.4374093765104</v>
      </c>
      <c r="I249" s="146">
        <f t="shared" si="31"/>
        <v>0.6166770768269831</v>
      </c>
      <c r="J249" s="6"/>
    </row>
    <row r="250" spans="1:10" ht="12.75" customHeight="1">
      <c r="A250" s="129" t="s">
        <v>42</v>
      </c>
      <c r="B250" s="132"/>
      <c r="C250" s="66">
        <v>415200</v>
      </c>
      <c r="D250" s="93" t="s">
        <v>195</v>
      </c>
      <c r="E250" s="154">
        <v>90000</v>
      </c>
      <c r="F250" s="154">
        <f>G250-E250</f>
        <v>-7650</v>
      </c>
      <c r="G250" s="154">
        <v>82350</v>
      </c>
      <c r="H250" s="148">
        <f t="shared" si="32"/>
        <v>91.5</v>
      </c>
      <c r="I250" s="215">
        <f t="shared" si="31"/>
        <v>0.2571830106183635</v>
      </c>
      <c r="J250" s="6"/>
    </row>
    <row r="251" spans="1:10" ht="12.75" customHeight="1" hidden="1">
      <c r="A251" s="129" t="s">
        <v>42</v>
      </c>
      <c r="B251" s="132"/>
      <c r="C251" s="66">
        <v>415200</v>
      </c>
      <c r="D251" s="93" t="s">
        <v>469</v>
      </c>
      <c r="E251" s="154"/>
      <c r="F251" s="154">
        <f aca="true" t="shared" si="33" ref="F251:F262">G251-E251</f>
        <v>0</v>
      </c>
      <c r="G251" s="154"/>
      <c r="H251" s="148" t="e">
        <f t="shared" si="32"/>
        <v>#DIV/0!</v>
      </c>
      <c r="I251" s="215">
        <f t="shared" si="31"/>
        <v>0</v>
      </c>
      <c r="J251" s="6"/>
    </row>
    <row r="252" spans="1:10" ht="12" customHeight="1">
      <c r="A252" s="129" t="s">
        <v>42</v>
      </c>
      <c r="B252" s="132"/>
      <c r="C252" s="66">
        <v>415200</v>
      </c>
      <c r="D252" s="93" t="s">
        <v>675</v>
      </c>
      <c r="E252" s="154">
        <v>3900</v>
      </c>
      <c r="F252" s="154">
        <f t="shared" si="33"/>
        <v>3950</v>
      </c>
      <c r="G252" s="154">
        <v>7850</v>
      </c>
      <c r="H252" s="148">
        <f t="shared" si="32"/>
        <v>201.28205128205127</v>
      </c>
      <c r="I252" s="215">
        <f t="shared" si="31"/>
        <v>0.024515927545284196</v>
      </c>
      <c r="J252" s="6"/>
    </row>
    <row r="253" spans="1:10" ht="12.75" customHeight="1">
      <c r="A253" s="129" t="s">
        <v>42</v>
      </c>
      <c r="B253" s="132"/>
      <c r="C253" s="66">
        <v>415200</v>
      </c>
      <c r="D253" s="88" t="s">
        <v>196</v>
      </c>
      <c r="E253" s="196">
        <v>20000</v>
      </c>
      <c r="F253" s="154">
        <f t="shared" si="33"/>
        <v>-2000</v>
      </c>
      <c r="G253" s="196">
        <v>18000</v>
      </c>
      <c r="H253" s="148">
        <f t="shared" si="32"/>
        <v>90</v>
      </c>
      <c r="I253" s="215">
        <f t="shared" si="31"/>
        <v>0.05621486570893192</v>
      </c>
      <c r="J253" s="6"/>
    </row>
    <row r="254" spans="1:10" ht="24" customHeight="1">
      <c r="A254" s="129" t="s">
        <v>42</v>
      </c>
      <c r="B254" s="132"/>
      <c r="C254" s="66">
        <v>415200</v>
      </c>
      <c r="D254" s="88" t="s">
        <v>197</v>
      </c>
      <c r="E254" s="154">
        <v>30000</v>
      </c>
      <c r="F254" s="154">
        <f t="shared" si="33"/>
        <v>-3000</v>
      </c>
      <c r="G254" s="154">
        <v>27000</v>
      </c>
      <c r="H254" s="148">
        <f t="shared" si="32"/>
        <v>90</v>
      </c>
      <c r="I254" s="215">
        <f t="shared" si="31"/>
        <v>0.08432229856339787</v>
      </c>
      <c r="J254" s="6"/>
    </row>
    <row r="255" spans="1:10" ht="13.5" customHeight="1">
      <c r="A255" s="129" t="s">
        <v>42</v>
      </c>
      <c r="B255" s="132"/>
      <c r="C255" s="66">
        <v>415200</v>
      </c>
      <c r="D255" s="88" t="s">
        <v>273</v>
      </c>
      <c r="E255" s="154">
        <v>5000</v>
      </c>
      <c r="F255" s="154">
        <f t="shared" si="33"/>
        <v>-500</v>
      </c>
      <c r="G255" s="154">
        <v>4500</v>
      </c>
      <c r="H255" s="148">
        <f t="shared" si="32"/>
        <v>90</v>
      </c>
      <c r="I255" s="215">
        <f t="shared" si="31"/>
        <v>0.01405371642723298</v>
      </c>
      <c r="J255" s="6"/>
    </row>
    <row r="256" spans="1:10" ht="13.5" customHeight="1">
      <c r="A256" s="129" t="s">
        <v>42</v>
      </c>
      <c r="B256" s="132"/>
      <c r="C256" s="66">
        <v>415200</v>
      </c>
      <c r="D256" s="88" t="s">
        <v>198</v>
      </c>
      <c r="E256" s="154">
        <v>5000</v>
      </c>
      <c r="F256" s="154">
        <f t="shared" si="33"/>
        <v>-500</v>
      </c>
      <c r="G256" s="154">
        <v>4500</v>
      </c>
      <c r="H256" s="148">
        <f t="shared" si="32"/>
        <v>90</v>
      </c>
      <c r="I256" s="215">
        <f t="shared" si="31"/>
        <v>0.01405371642723298</v>
      </c>
      <c r="J256" s="6"/>
    </row>
    <row r="257" spans="1:10" ht="13.5" customHeight="1">
      <c r="A257" s="129" t="s">
        <v>42</v>
      </c>
      <c r="B257" s="132"/>
      <c r="C257" s="66">
        <v>415200</v>
      </c>
      <c r="D257" s="88" t="s">
        <v>676</v>
      </c>
      <c r="E257" s="154">
        <v>0</v>
      </c>
      <c r="F257" s="154">
        <f t="shared" si="33"/>
        <v>760</v>
      </c>
      <c r="G257" s="154">
        <v>760</v>
      </c>
      <c r="H257" s="148" t="e">
        <f t="shared" si="32"/>
        <v>#DIV/0!</v>
      </c>
      <c r="I257" s="215">
        <f t="shared" si="31"/>
        <v>0.002373516552154903</v>
      </c>
      <c r="J257" s="6"/>
    </row>
    <row r="258" spans="1:10" ht="13.5" customHeight="1">
      <c r="A258" s="129" t="s">
        <v>42</v>
      </c>
      <c r="B258" s="132"/>
      <c r="C258" s="66">
        <v>415200</v>
      </c>
      <c r="D258" s="88" t="s">
        <v>343</v>
      </c>
      <c r="E258" s="154">
        <v>5000</v>
      </c>
      <c r="F258" s="154">
        <f t="shared" si="33"/>
        <v>-500</v>
      </c>
      <c r="G258" s="154">
        <v>4500</v>
      </c>
      <c r="H258" s="148">
        <f t="shared" si="32"/>
        <v>90</v>
      </c>
      <c r="I258" s="215">
        <f t="shared" si="31"/>
        <v>0.01405371642723298</v>
      </c>
      <c r="J258" s="6"/>
    </row>
    <row r="259" spans="1:10" ht="25.5">
      <c r="A259" s="129" t="s">
        <v>42</v>
      </c>
      <c r="B259" s="132"/>
      <c r="C259" s="66">
        <v>415200</v>
      </c>
      <c r="D259" s="88" t="s">
        <v>437</v>
      </c>
      <c r="E259" s="148">
        <v>7500</v>
      </c>
      <c r="F259" s="154">
        <f t="shared" si="33"/>
        <v>0</v>
      </c>
      <c r="G259" s="148">
        <v>7500</v>
      </c>
      <c r="H259" s="148">
        <f t="shared" si="32"/>
        <v>100</v>
      </c>
      <c r="I259" s="215">
        <f t="shared" si="31"/>
        <v>0.023422860712054967</v>
      </c>
      <c r="J259" s="6"/>
    </row>
    <row r="260" spans="1:10" ht="38.25" customHeight="1" hidden="1">
      <c r="A260" s="129" t="s">
        <v>42</v>
      </c>
      <c r="B260" s="132"/>
      <c r="C260" s="66">
        <v>415200</v>
      </c>
      <c r="D260" s="88" t="s">
        <v>470</v>
      </c>
      <c r="E260" s="152"/>
      <c r="F260" s="154">
        <f t="shared" si="33"/>
        <v>0</v>
      </c>
      <c r="G260" s="152"/>
      <c r="H260" s="148" t="e">
        <f t="shared" si="32"/>
        <v>#DIV/0!</v>
      </c>
      <c r="I260" s="215">
        <f t="shared" si="31"/>
        <v>0</v>
      </c>
      <c r="J260" s="6"/>
    </row>
    <row r="261" spans="1:10" ht="24" customHeight="1">
      <c r="A261" s="131" t="s">
        <v>42</v>
      </c>
      <c r="B261" s="206"/>
      <c r="C261" s="77">
        <v>415200</v>
      </c>
      <c r="D261" s="125" t="s">
        <v>186</v>
      </c>
      <c r="E261" s="196">
        <v>40000</v>
      </c>
      <c r="F261" s="154">
        <f t="shared" si="33"/>
        <v>0</v>
      </c>
      <c r="G261" s="196">
        <v>40000</v>
      </c>
      <c r="H261" s="148">
        <f t="shared" si="32"/>
        <v>100</v>
      </c>
      <c r="I261" s="215">
        <f t="shared" si="31"/>
        <v>0.12492192379762648</v>
      </c>
      <c r="J261" s="6"/>
    </row>
    <row r="262" spans="1:10" ht="28.5" customHeight="1">
      <c r="A262" s="217" t="s">
        <v>42</v>
      </c>
      <c r="B262" s="206"/>
      <c r="C262" s="77">
        <v>415200</v>
      </c>
      <c r="D262" s="125" t="s">
        <v>298</v>
      </c>
      <c r="E262" s="152">
        <v>500</v>
      </c>
      <c r="F262" s="154">
        <f t="shared" si="33"/>
        <v>0</v>
      </c>
      <c r="G262" s="152">
        <v>500</v>
      </c>
      <c r="H262" s="148">
        <f t="shared" si="32"/>
        <v>100</v>
      </c>
      <c r="I262" s="215">
        <f t="shared" si="31"/>
        <v>0.001561524047470331</v>
      </c>
      <c r="J262" s="6"/>
    </row>
    <row r="263" spans="1:10" ht="12.75" customHeight="1" hidden="1">
      <c r="A263" s="217" t="s">
        <v>42</v>
      </c>
      <c r="B263" s="206"/>
      <c r="C263" s="77">
        <v>415200</v>
      </c>
      <c r="D263" s="125" t="s">
        <v>428</v>
      </c>
      <c r="E263" s="152"/>
      <c r="F263" s="152"/>
      <c r="G263" s="152"/>
      <c r="H263" s="145" t="e">
        <f t="shared" si="32"/>
        <v>#DIV/0!</v>
      </c>
      <c r="I263" s="146">
        <f t="shared" si="31"/>
        <v>0</v>
      </c>
      <c r="J263" s="6"/>
    </row>
    <row r="264" spans="1:10" ht="14.25" customHeight="1">
      <c r="A264" s="217"/>
      <c r="B264" s="218">
        <v>416000</v>
      </c>
      <c r="C264" s="219"/>
      <c r="D264" s="208" t="s">
        <v>1</v>
      </c>
      <c r="E264" s="220">
        <f>SUM(E265:E266)</f>
        <v>45000</v>
      </c>
      <c r="F264" s="220">
        <f>SUM(F265:F266)</f>
        <v>0</v>
      </c>
      <c r="G264" s="220">
        <f>SUM(G265:G266)</f>
        <v>45000</v>
      </c>
      <c r="H264" s="145">
        <f t="shared" si="32"/>
        <v>100</v>
      </c>
      <c r="I264" s="146">
        <f t="shared" si="31"/>
        <v>0.1405371642723298</v>
      </c>
      <c r="J264" s="18"/>
    </row>
    <row r="265" spans="1:10" ht="13.5" customHeight="1">
      <c r="A265" s="217" t="s">
        <v>28</v>
      </c>
      <c r="B265" s="221"/>
      <c r="C265" s="77">
        <v>416100</v>
      </c>
      <c r="D265" s="125" t="s">
        <v>235</v>
      </c>
      <c r="E265" s="196">
        <v>45000</v>
      </c>
      <c r="F265" s="196">
        <f>G265-E265</f>
        <v>0</v>
      </c>
      <c r="G265" s="196">
        <v>45000</v>
      </c>
      <c r="H265" s="148">
        <f t="shared" si="32"/>
        <v>100</v>
      </c>
      <c r="I265" s="215">
        <f t="shared" si="31"/>
        <v>0.1405371642723298</v>
      </c>
      <c r="J265" s="18"/>
    </row>
    <row r="266" spans="1:10" ht="0.75" customHeight="1" hidden="1">
      <c r="A266" s="217" t="s">
        <v>28</v>
      </c>
      <c r="B266" s="221"/>
      <c r="C266" s="77">
        <v>416100</v>
      </c>
      <c r="D266" s="125" t="s">
        <v>471</v>
      </c>
      <c r="E266" s="196">
        <v>0</v>
      </c>
      <c r="F266" s="196">
        <v>0</v>
      </c>
      <c r="G266" s="196">
        <v>0</v>
      </c>
      <c r="H266" s="145" t="e">
        <f t="shared" si="32"/>
        <v>#DIV/0!</v>
      </c>
      <c r="I266" s="146">
        <f t="shared" si="31"/>
        <v>0</v>
      </c>
      <c r="J266" s="18"/>
    </row>
    <row r="267" spans="1:10" ht="17.25" customHeight="1">
      <c r="A267" s="129"/>
      <c r="B267" s="52">
        <v>487000</v>
      </c>
      <c r="C267" s="77"/>
      <c r="D267" s="143" t="s">
        <v>337</v>
      </c>
      <c r="E267" s="145">
        <f>SUM(E268)</f>
        <v>35000</v>
      </c>
      <c r="F267" s="145">
        <f>SUM(F268)</f>
        <v>0</v>
      </c>
      <c r="G267" s="145">
        <f>SUM(G268)</f>
        <v>35000</v>
      </c>
      <c r="H267" s="145">
        <f t="shared" si="32"/>
        <v>100</v>
      </c>
      <c r="I267" s="146">
        <f t="shared" si="31"/>
        <v>0.10930668332292316</v>
      </c>
      <c r="J267" s="6"/>
    </row>
    <row r="268" spans="1:10" ht="18.75" customHeight="1">
      <c r="A268" s="129" t="s">
        <v>28</v>
      </c>
      <c r="B268" s="52"/>
      <c r="C268" s="77">
        <v>487900</v>
      </c>
      <c r="D268" s="88" t="s">
        <v>620</v>
      </c>
      <c r="E268" s="152">
        <v>35000</v>
      </c>
      <c r="F268" s="152">
        <f>G268-E268</f>
        <v>0</v>
      </c>
      <c r="G268" s="152">
        <v>35000</v>
      </c>
      <c r="H268" s="148">
        <f t="shared" si="32"/>
        <v>100</v>
      </c>
      <c r="I268" s="215">
        <f t="shared" si="31"/>
        <v>0.10930668332292316</v>
      </c>
      <c r="J268" s="6"/>
    </row>
    <row r="269" spans="1:10" ht="13.5" customHeight="1" hidden="1">
      <c r="A269" s="129" t="s">
        <v>42</v>
      </c>
      <c r="B269" s="52"/>
      <c r="C269" s="77">
        <v>511100</v>
      </c>
      <c r="D269" s="88" t="s">
        <v>238</v>
      </c>
      <c r="E269" s="152"/>
      <c r="F269" s="152"/>
      <c r="G269" s="152"/>
      <c r="H269" s="145" t="e">
        <f t="shared" si="32"/>
        <v>#DIV/0!</v>
      </c>
      <c r="I269" s="146">
        <f t="shared" si="31"/>
        <v>0</v>
      </c>
      <c r="J269" s="6"/>
    </row>
    <row r="270" spans="1:10" ht="23.25" customHeight="1" hidden="1">
      <c r="A270" s="129" t="s">
        <v>42</v>
      </c>
      <c r="B270" s="52"/>
      <c r="C270" s="77">
        <v>511100</v>
      </c>
      <c r="D270" s="88" t="s">
        <v>401</v>
      </c>
      <c r="E270" s="152"/>
      <c r="F270" s="152"/>
      <c r="G270" s="152"/>
      <c r="H270" s="145" t="e">
        <f t="shared" si="32"/>
        <v>#DIV/0!</v>
      </c>
      <c r="I270" s="146">
        <f t="shared" si="31"/>
        <v>0</v>
      </c>
      <c r="J270" s="6"/>
    </row>
    <row r="271" spans="1:10" ht="27" customHeight="1">
      <c r="A271" s="507"/>
      <c r="B271" s="508"/>
      <c r="C271" s="501" t="s">
        <v>82</v>
      </c>
      <c r="D271" s="505"/>
      <c r="E271" s="167">
        <f>E245+E249+E264+E267</f>
        <v>294600</v>
      </c>
      <c r="F271" s="167">
        <f>F245+F249+F264+F267</f>
        <v>-9475</v>
      </c>
      <c r="G271" s="167">
        <f>G245+G249+G264+G267</f>
        <v>285125</v>
      </c>
      <c r="H271" s="382">
        <f t="shared" si="32"/>
        <v>96.78377460964019</v>
      </c>
      <c r="I271" s="422">
        <f t="shared" si="31"/>
        <v>0.8904590880699562</v>
      </c>
      <c r="J271" s="6"/>
    </row>
    <row r="272" spans="1:10" ht="9.75" customHeight="1">
      <c r="A272" s="507"/>
      <c r="B272" s="508"/>
      <c r="C272" s="503" t="s">
        <v>574</v>
      </c>
      <c r="D272" s="504"/>
      <c r="E272" s="197"/>
      <c r="F272" s="197"/>
      <c r="G272" s="197"/>
      <c r="H272" s="197"/>
      <c r="I272" s="198"/>
      <c r="J272" s="6"/>
    </row>
    <row r="273" spans="1:10" ht="9.75" customHeight="1">
      <c r="A273" s="507"/>
      <c r="B273" s="508"/>
      <c r="C273" s="504"/>
      <c r="D273" s="504"/>
      <c r="E273" s="199"/>
      <c r="F273" s="199"/>
      <c r="G273" s="199"/>
      <c r="H273" s="199"/>
      <c r="I273" s="200"/>
      <c r="J273" s="6"/>
    </row>
    <row r="274" spans="1:10" ht="27.75" customHeight="1">
      <c r="A274" s="507"/>
      <c r="B274" s="508"/>
      <c r="C274" s="504"/>
      <c r="D274" s="504"/>
      <c r="E274" s="201"/>
      <c r="F274" s="201"/>
      <c r="G274" s="201"/>
      <c r="H274" s="201"/>
      <c r="I274" s="202"/>
      <c r="J274" s="6"/>
    </row>
    <row r="275" spans="1:10" ht="14.25" customHeight="1">
      <c r="A275" s="129"/>
      <c r="B275" s="52">
        <v>412000</v>
      </c>
      <c r="C275" s="132"/>
      <c r="D275" s="143" t="s">
        <v>119</v>
      </c>
      <c r="E275" s="145">
        <f>SUM(E276:E281)</f>
        <v>30000</v>
      </c>
      <c r="F275" s="145">
        <f>SUM(F276:F281)</f>
        <v>4200</v>
      </c>
      <c r="G275" s="145">
        <f>SUM(G276:G281)</f>
        <v>34200</v>
      </c>
      <c r="H275" s="145">
        <f>G275/E275*100</f>
        <v>113.99999999999999</v>
      </c>
      <c r="I275" s="146">
        <f aca="true" t="shared" si="34" ref="I275:I282">G275/$G$611*100</f>
        <v>0.10680824484697064</v>
      </c>
      <c r="J275" s="6"/>
    </row>
    <row r="276" spans="1:10" ht="12.75">
      <c r="A276" s="129" t="s">
        <v>32</v>
      </c>
      <c r="B276" s="52"/>
      <c r="C276" s="66">
        <v>412700</v>
      </c>
      <c r="D276" s="125" t="s">
        <v>100</v>
      </c>
      <c r="E276" s="196">
        <v>13600</v>
      </c>
      <c r="F276" s="196">
        <f aca="true" t="shared" si="35" ref="F276:F281">G276-E276</f>
        <v>-3000</v>
      </c>
      <c r="G276" s="196">
        <v>10600</v>
      </c>
      <c r="H276" s="148">
        <f aca="true" t="shared" si="36" ref="H276:H282">G276/E276*100</f>
        <v>77.94117647058823</v>
      </c>
      <c r="I276" s="215">
        <f t="shared" si="34"/>
        <v>0.03310430980637102</v>
      </c>
      <c r="J276" s="6"/>
    </row>
    <row r="277" spans="1:10" ht="25.5">
      <c r="A277" s="129" t="s">
        <v>32</v>
      </c>
      <c r="B277" s="52"/>
      <c r="C277" s="66">
        <v>418400</v>
      </c>
      <c r="D277" s="125" t="s">
        <v>677</v>
      </c>
      <c r="E277" s="196">
        <v>0</v>
      </c>
      <c r="F277" s="196">
        <f t="shared" si="35"/>
        <v>3000</v>
      </c>
      <c r="G277" s="196">
        <v>3000</v>
      </c>
      <c r="H277" s="148" t="e">
        <f t="shared" si="36"/>
        <v>#DIV/0!</v>
      </c>
      <c r="I277" s="215">
        <f t="shared" si="34"/>
        <v>0.009369144284821987</v>
      </c>
      <c r="J277" s="6"/>
    </row>
    <row r="278" spans="1:10" ht="14.25" customHeight="1">
      <c r="A278" s="217" t="s">
        <v>32</v>
      </c>
      <c r="B278" s="206"/>
      <c r="C278" s="77">
        <v>412700</v>
      </c>
      <c r="D278" s="125" t="s">
        <v>113</v>
      </c>
      <c r="E278" s="196">
        <v>1000</v>
      </c>
      <c r="F278" s="196">
        <f t="shared" si="35"/>
        <v>-800</v>
      </c>
      <c r="G278" s="196">
        <v>200</v>
      </c>
      <c r="H278" s="148">
        <f t="shared" si="36"/>
        <v>20</v>
      </c>
      <c r="I278" s="215">
        <f t="shared" si="34"/>
        <v>0.0006246096189881324</v>
      </c>
      <c r="J278" s="6"/>
    </row>
    <row r="279" spans="1:10" ht="24" customHeight="1">
      <c r="A279" s="217" t="s">
        <v>32</v>
      </c>
      <c r="B279" s="206"/>
      <c r="C279" s="97">
        <v>412700</v>
      </c>
      <c r="D279" s="93" t="s">
        <v>182</v>
      </c>
      <c r="E279" s="154">
        <v>12000</v>
      </c>
      <c r="F279" s="196">
        <f t="shared" si="35"/>
        <v>8000</v>
      </c>
      <c r="G279" s="154">
        <v>20000</v>
      </c>
      <c r="H279" s="148">
        <f t="shared" si="36"/>
        <v>166.66666666666669</v>
      </c>
      <c r="I279" s="215">
        <f t="shared" si="34"/>
        <v>0.06246096189881324</v>
      </c>
      <c r="J279" s="6"/>
    </row>
    <row r="280" spans="1:10" ht="24.75" customHeight="1">
      <c r="A280" s="131" t="s">
        <v>162</v>
      </c>
      <c r="B280" s="132"/>
      <c r="C280" s="97">
        <v>412700</v>
      </c>
      <c r="D280" s="125" t="s">
        <v>472</v>
      </c>
      <c r="E280" s="154">
        <v>3000</v>
      </c>
      <c r="F280" s="196">
        <f t="shared" si="35"/>
        <v>-3000</v>
      </c>
      <c r="G280" s="154">
        <v>0</v>
      </c>
      <c r="H280" s="148">
        <f t="shared" si="36"/>
        <v>0</v>
      </c>
      <c r="I280" s="215">
        <f t="shared" si="34"/>
        <v>0</v>
      </c>
      <c r="J280" s="6"/>
    </row>
    <row r="281" spans="1:10" ht="12.75" customHeight="1">
      <c r="A281" s="129" t="s">
        <v>23</v>
      </c>
      <c r="B281" s="132"/>
      <c r="C281" s="66">
        <v>412900</v>
      </c>
      <c r="D281" s="88" t="s">
        <v>43</v>
      </c>
      <c r="E281" s="148">
        <v>400</v>
      </c>
      <c r="F281" s="196">
        <f t="shared" si="35"/>
        <v>0</v>
      </c>
      <c r="G281" s="148">
        <v>400</v>
      </c>
      <c r="H281" s="148">
        <f t="shared" si="36"/>
        <v>100</v>
      </c>
      <c r="I281" s="215">
        <f t="shared" si="34"/>
        <v>0.0012492192379762648</v>
      </c>
      <c r="J281" s="6"/>
    </row>
    <row r="282" spans="1:10" ht="27.75" customHeight="1">
      <c r="A282" s="507"/>
      <c r="B282" s="508"/>
      <c r="C282" s="501" t="s">
        <v>83</v>
      </c>
      <c r="D282" s="501"/>
      <c r="E282" s="167">
        <f>E275</f>
        <v>30000</v>
      </c>
      <c r="F282" s="167">
        <f>F275</f>
        <v>4200</v>
      </c>
      <c r="G282" s="167">
        <f>G275</f>
        <v>34200</v>
      </c>
      <c r="H282" s="382">
        <f t="shared" si="36"/>
        <v>113.99999999999999</v>
      </c>
      <c r="I282" s="422">
        <f t="shared" si="34"/>
        <v>0.10680824484697064</v>
      </c>
      <c r="J282" s="6"/>
    </row>
    <row r="283" spans="1:10" ht="25.5" customHeight="1">
      <c r="A283" s="169"/>
      <c r="B283" s="170"/>
      <c r="C283" s="503" t="s">
        <v>573</v>
      </c>
      <c r="D283" s="504"/>
      <c r="E283" s="171"/>
      <c r="F283" s="171"/>
      <c r="G283" s="171"/>
      <c r="H283" s="171"/>
      <c r="I283" s="172"/>
      <c r="J283" s="6"/>
    </row>
    <row r="284" spans="1:10" ht="15" customHeight="1">
      <c r="A284" s="177"/>
      <c r="B284" s="178"/>
      <c r="C284" s="504"/>
      <c r="D284" s="504"/>
      <c r="E284" s="179"/>
      <c r="F284" s="179"/>
      <c r="G284" s="179"/>
      <c r="H284" s="179"/>
      <c r="I284" s="180"/>
      <c r="J284" s="6"/>
    </row>
    <row r="285" spans="1:10" ht="12.75">
      <c r="A285" s="129"/>
      <c r="B285" s="52">
        <v>412000</v>
      </c>
      <c r="C285" s="66"/>
      <c r="D285" s="143" t="s">
        <v>119</v>
      </c>
      <c r="E285" s="145">
        <f>SUM(E286:E294)</f>
        <v>400900</v>
      </c>
      <c r="F285" s="145">
        <f>SUM(F286:F294)</f>
        <v>0</v>
      </c>
      <c r="G285" s="145">
        <f>SUM(G286:G294)</f>
        <v>400900</v>
      </c>
      <c r="H285" s="145">
        <f>G285/E285*100</f>
        <v>100</v>
      </c>
      <c r="I285" s="181">
        <f aca="true" t="shared" si="37" ref="I285:I300">G285/$G$611*100</f>
        <v>1.2520299812617115</v>
      </c>
      <c r="J285" s="6"/>
    </row>
    <row r="286" spans="1:10" ht="25.5" customHeight="1">
      <c r="A286" s="129" t="s">
        <v>23</v>
      </c>
      <c r="B286" s="132"/>
      <c r="C286" s="66">
        <v>412200</v>
      </c>
      <c r="D286" s="88" t="s">
        <v>121</v>
      </c>
      <c r="E286" s="154">
        <v>240000</v>
      </c>
      <c r="F286" s="154">
        <f>G286-E286</f>
        <v>-3000</v>
      </c>
      <c r="G286" s="154">
        <v>237000</v>
      </c>
      <c r="H286" s="148">
        <f aca="true" t="shared" si="38" ref="H286:H300">G286/E286*100</f>
        <v>98.75</v>
      </c>
      <c r="I286" s="417">
        <f t="shared" si="37"/>
        <v>0.7401623985009369</v>
      </c>
      <c r="J286" s="6"/>
    </row>
    <row r="287" spans="1:10" ht="12.75">
      <c r="A287" s="129" t="s">
        <v>23</v>
      </c>
      <c r="B287" s="132"/>
      <c r="C287" s="66">
        <v>412300</v>
      </c>
      <c r="D287" s="132" t="s">
        <v>122</v>
      </c>
      <c r="E287" s="152">
        <v>50000</v>
      </c>
      <c r="F287" s="154">
        <f aca="true" t="shared" si="39" ref="F287:F293">G287-E287</f>
        <v>-5000</v>
      </c>
      <c r="G287" s="152">
        <v>45000</v>
      </c>
      <c r="H287" s="148">
        <f t="shared" si="38"/>
        <v>90</v>
      </c>
      <c r="I287" s="417">
        <f t="shared" si="37"/>
        <v>0.1405371642723298</v>
      </c>
      <c r="J287" s="6"/>
    </row>
    <row r="288" spans="1:10" ht="12.75">
      <c r="A288" s="129" t="s">
        <v>23</v>
      </c>
      <c r="B288" s="132"/>
      <c r="C288" s="66">
        <v>412500</v>
      </c>
      <c r="D288" s="132" t="s">
        <v>21</v>
      </c>
      <c r="E288" s="152">
        <v>31000</v>
      </c>
      <c r="F288" s="154">
        <f t="shared" si="39"/>
        <v>0</v>
      </c>
      <c r="G288" s="152">
        <v>31000</v>
      </c>
      <c r="H288" s="148">
        <f t="shared" si="38"/>
        <v>100</v>
      </c>
      <c r="I288" s="417">
        <f t="shared" si="37"/>
        <v>0.09681449094316052</v>
      </c>
      <c r="J288" s="6"/>
    </row>
    <row r="289" spans="1:10" ht="15.75" customHeight="1">
      <c r="A289" s="129" t="s">
        <v>23</v>
      </c>
      <c r="B289" s="132"/>
      <c r="C289" s="66">
        <v>412600</v>
      </c>
      <c r="D289" s="88" t="s">
        <v>449</v>
      </c>
      <c r="E289" s="152">
        <v>7000</v>
      </c>
      <c r="F289" s="154">
        <f t="shared" si="39"/>
        <v>0</v>
      </c>
      <c r="G289" s="152">
        <v>7000</v>
      </c>
      <c r="H289" s="148">
        <f t="shared" si="38"/>
        <v>100</v>
      </c>
      <c r="I289" s="417">
        <f t="shared" si="37"/>
        <v>0.021861336664584636</v>
      </c>
      <c r="J289" s="6"/>
    </row>
    <row r="290" spans="1:10" ht="12.75">
      <c r="A290" s="129" t="s">
        <v>23</v>
      </c>
      <c r="B290" s="132"/>
      <c r="C290" s="66">
        <v>412700</v>
      </c>
      <c r="D290" s="88" t="s">
        <v>264</v>
      </c>
      <c r="E290" s="154">
        <v>65000</v>
      </c>
      <c r="F290" s="154">
        <f t="shared" si="39"/>
        <v>0</v>
      </c>
      <c r="G290" s="154">
        <v>65000</v>
      </c>
      <c r="H290" s="148">
        <f t="shared" si="38"/>
        <v>100</v>
      </c>
      <c r="I290" s="417">
        <f t="shared" si="37"/>
        <v>0.20299812617114305</v>
      </c>
      <c r="J290" s="6"/>
    </row>
    <row r="291" spans="1:10" ht="12.75">
      <c r="A291" s="129" t="s">
        <v>23</v>
      </c>
      <c r="B291" s="132"/>
      <c r="C291" s="66">
        <v>412900</v>
      </c>
      <c r="D291" s="88" t="s">
        <v>0</v>
      </c>
      <c r="E291" s="152">
        <v>400</v>
      </c>
      <c r="F291" s="154">
        <f t="shared" si="39"/>
        <v>0</v>
      </c>
      <c r="G291" s="152">
        <v>400</v>
      </c>
      <c r="H291" s="148">
        <f t="shared" si="38"/>
        <v>100</v>
      </c>
      <c r="I291" s="417">
        <f t="shared" si="37"/>
        <v>0.0012492192379762648</v>
      </c>
      <c r="J291" s="6"/>
    </row>
    <row r="292" spans="1:10" ht="12.75">
      <c r="A292" s="129" t="s">
        <v>23</v>
      </c>
      <c r="B292" s="132"/>
      <c r="C292" s="66">
        <v>412900</v>
      </c>
      <c r="D292" s="88" t="s">
        <v>263</v>
      </c>
      <c r="E292" s="154">
        <v>2500</v>
      </c>
      <c r="F292" s="154">
        <f t="shared" si="39"/>
        <v>0</v>
      </c>
      <c r="G292" s="154">
        <v>2500</v>
      </c>
      <c r="H292" s="148">
        <f t="shared" si="38"/>
        <v>100</v>
      </c>
      <c r="I292" s="417">
        <f t="shared" si="37"/>
        <v>0.007807620237351655</v>
      </c>
      <c r="J292" s="6"/>
    </row>
    <row r="293" spans="1:10" ht="14.25" customHeight="1">
      <c r="A293" s="129" t="s">
        <v>23</v>
      </c>
      <c r="B293" s="132"/>
      <c r="C293" s="66">
        <v>412900</v>
      </c>
      <c r="D293" s="88" t="s">
        <v>128</v>
      </c>
      <c r="E293" s="154">
        <v>5000</v>
      </c>
      <c r="F293" s="154">
        <f t="shared" si="39"/>
        <v>8000</v>
      </c>
      <c r="G293" s="154">
        <v>13000</v>
      </c>
      <c r="H293" s="148">
        <f t="shared" si="38"/>
        <v>260</v>
      </c>
      <c r="I293" s="417">
        <f t="shared" si="37"/>
        <v>0.04059962523422861</v>
      </c>
      <c r="J293" s="6"/>
    </row>
    <row r="294" spans="1:10" ht="13.5" customHeight="1" hidden="1">
      <c r="A294" s="129" t="s">
        <v>23</v>
      </c>
      <c r="B294" s="132"/>
      <c r="C294" s="66">
        <v>412900</v>
      </c>
      <c r="D294" s="88" t="s">
        <v>473</v>
      </c>
      <c r="E294" s="154">
        <v>0</v>
      </c>
      <c r="F294" s="154">
        <v>0</v>
      </c>
      <c r="G294" s="154">
        <v>0</v>
      </c>
      <c r="H294" s="145" t="e">
        <f t="shared" si="38"/>
        <v>#DIV/0!</v>
      </c>
      <c r="I294" s="181">
        <f t="shared" si="37"/>
        <v>0</v>
      </c>
      <c r="J294" s="6"/>
    </row>
    <row r="295" spans="1:10" ht="19.5" customHeight="1">
      <c r="A295" s="129"/>
      <c r="B295" s="52">
        <v>511000</v>
      </c>
      <c r="C295" s="132"/>
      <c r="D295" s="143" t="s">
        <v>137</v>
      </c>
      <c r="E295" s="183">
        <f>SUM(E296:E297)</f>
        <v>95000</v>
      </c>
      <c r="F295" s="183">
        <f>SUM(F296:F297)</f>
        <v>0</v>
      </c>
      <c r="G295" s="183">
        <f>SUM(G296:G297)</f>
        <v>95000</v>
      </c>
      <c r="H295" s="145">
        <f t="shared" si="38"/>
        <v>100</v>
      </c>
      <c r="I295" s="181">
        <f t="shared" si="37"/>
        <v>0.2966895690193629</v>
      </c>
      <c r="J295" s="6"/>
    </row>
    <row r="296" spans="1:10" ht="0.75" customHeight="1" hidden="1">
      <c r="A296" s="129" t="s">
        <v>23</v>
      </c>
      <c r="B296" s="132"/>
      <c r="C296" s="206">
        <v>511200</v>
      </c>
      <c r="D296" s="125" t="s">
        <v>147</v>
      </c>
      <c r="E296" s="152">
        <v>0</v>
      </c>
      <c r="F296" s="152">
        <v>0</v>
      </c>
      <c r="G296" s="152">
        <v>0</v>
      </c>
      <c r="H296" s="145" t="e">
        <f t="shared" si="38"/>
        <v>#DIV/0!</v>
      </c>
      <c r="I296" s="181">
        <f t="shared" si="37"/>
        <v>0</v>
      </c>
      <c r="J296" s="6"/>
    </row>
    <row r="297" spans="1:10" ht="14.25" customHeight="1">
      <c r="A297" s="129" t="s">
        <v>23</v>
      </c>
      <c r="B297" s="132"/>
      <c r="C297" s="132">
        <v>511300</v>
      </c>
      <c r="D297" s="132" t="s">
        <v>2</v>
      </c>
      <c r="E297" s="154">
        <v>95000</v>
      </c>
      <c r="F297" s="154">
        <f>G297-E297</f>
        <v>0</v>
      </c>
      <c r="G297" s="154">
        <v>95000</v>
      </c>
      <c r="H297" s="148">
        <f t="shared" si="38"/>
        <v>100</v>
      </c>
      <c r="I297" s="417">
        <f t="shared" si="37"/>
        <v>0.2966895690193629</v>
      </c>
      <c r="J297" s="330"/>
    </row>
    <row r="298" spans="1:10" ht="15" customHeight="1">
      <c r="A298" s="129"/>
      <c r="B298" s="52">
        <v>516000</v>
      </c>
      <c r="C298" s="132"/>
      <c r="D298" s="143" t="s">
        <v>292</v>
      </c>
      <c r="E298" s="183">
        <f>SUM(E299)</f>
        <v>10000</v>
      </c>
      <c r="F298" s="183">
        <f>SUM(F299)</f>
        <v>5000</v>
      </c>
      <c r="G298" s="183">
        <f>SUM(G299)</f>
        <v>15000</v>
      </c>
      <c r="H298" s="145">
        <f t="shared" si="38"/>
        <v>150</v>
      </c>
      <c r="I298" s="181">
        <f t="shared" si="37"/>
        <v>0.046845721424109935</v>
      </c>
      <c r="J298" s="6"/>
    </row>
    <row r="299" spans="1:10" ht="12.75">
      <c r="A299" s="129" t="s">
        <v>23</v>
      </c>
      <c r="B299" s="132"/>
      <c r="C299" s="132">
        <v>516100</v>
      </c>
      <c r="D299" s="88" t="s">
        <v>239</v>
      </c>
      <c r="E299" s="154">
        <v>10000</v>
      </c>
      <c r="F299" s="154">
        <f>G299-E299</f>
        <v>5000</v>
      </c>
      <c r="G299" s="154">
        <v>15000</v>
      </c>
      <c r="H299" s="148">
        <f t="shared" si="38"/>
        <v>150</v>
      </c>
      <c r="I299" s="417">
        <f t="shared" si="37"/>
        <v>0.046845721424109935</v>
      </c>
      <c r="J299" s="6"/>
    </row>
    <row r="300" spans="1:10" ht="25.5" customHeight="1">
      <c r="A300" s="507"/>
      <c r="B300" s="508"/>
      <c r="C300" s="501" t="s">
        <v>85</v>
      </c>
      <c r="D300" s="505"/>
      <c r="E300" s="167">
        <f>E285+E295+E298</f>
        <v>505900</v>
      </c>
      <c r="F300" s="167">
        <f>F285+F295+F298</f>
        <v>5000</v>
      </c>
      <c r="G300" s="167">
        <f>G285+G295+G298</f>
        <v>510900</v>
      </c>
      <c r="H300" s="382">
        <f t="shared" si="38"/>
        <v>100.98833761612967</v>
      </c>
      <c r="I300" s="358">
        <f t="shared" si="37"/>
        <v>1.5955652717051843</v>
      </c>
      <c r="J300" s="6"/>
    </row>
    <row r="301" spans="1:10" ht="12.75">
      <c r="A301" s="173"/>
      <c r="B301" s="174"/>
      <c r="C301" s="502" t="s">
        <v>572</v>
      </c>
      <c r="D301" s="506"/>
      <c r="E301" s="175"/>
      <c r="F301" s="175"/>
      <c r="G301" s="175"/>
      <c r="H301" s="175"/>
      <c r="I301" s="176"/>
      <c r="J301" s="6"/>
    </row>
    <row r="302" spans="1:10" ht="12.75">
      <c r="A302" s="173"/>
      <c r="B302" s="174"/>
      <c r="C302" s="506"/>
      <c r="D302" s="506"/>
      <c r="E302" s="175"/>
      <c r="F302" s="175"/>
      <c r="G302" s="175"/>
      <c r="H302" s="175"/>
      <c r="I302" s="176"/>
      <c r="J302" s="6"/>
    </row>
    <row r="303" spans="1:10" ht="17.25" customHeight="1">
      <c r="A303" s="177"/>
      <c r="B303" s="178"/>
      <c r="C303" s="506"/>
      <c r="D303" s="506"/>
      <c r="E303" s="179"/>
      <c r="F303" s="179"/>
      <c r="G303" s="179"/>
      <c r="H303" s="179"/>
      <c r="I303" s="180"/>
      <c r="J303" s="6"/>
    </row>
    <row r="304" spans="1:10" ht="12.75">
      <c r="A304" s="222"/>
      <c r="B304" s="190" t="s">
        <v>353</v>
      </c>
      <c r="C304" s="90"/>
      <c r="D304" s="60" t="s">
        <v>119</v>
      </c>
      <c r="E304" s="223">
        <f>SUM(E305:E306)</f>
        <v>40000</v>
      </c>
      <c r="F304" s="223">
        <f>SUM(F305:F306)</f>
        <v>3000</v>
      </c>
      <c r="G304" s="223">
        <f>SUM(G305:G306)</f>
        <v>43000</v>
      </c>
      <c r="H304" s="224">
        <f>G304/E304*100</f>
        <v>107.5</v>
      </c>
      <c r="I304" s="225">
        <f aca="true" t="shared" si="40" ref="I304:I311">G304/$G$611*100</f>
        <v>0.13429106808244848</v>
      </c>
      <c r="J304" s="6"/>
    </row>
    <row r="305" spans="1:10" ht="12.75">
      <c r="A305" s="129" t="s">
        <v>23</v>
      </c>
      <c r="B305" s="190"/>
      <c r="C305" s="96">
        <v>412700</v>
      </c>
      <c r="D305" s="67" t="s">
        <v>126</v>
      </c>
      <c r="E305" s="227">
        <v>39000</v>
      </c>
      <c r="F305" s="227">
        <f>G305-E305</f>
        <v>3000</v>
      </c>
      <c r="G305" s="227">
        <v>42000</v>
      </c>
      <c r="H305" s="193">
        <f aca="true" t="shared" si="41" ref="H305:H311">G305/E305*100</f>
        <v>107.6923076923077</v>
      </c>
      <c r="I305" s="418">
        <f t="shared" si="40"/>
        <v>0.1311680199875078</v>
      </c>
      <c r="J305" s="6"/>
    </row>
    <row r="306" spans="1:10" ht="25.5">
      <c r="A306" s="129" t="s">
        <v>23</v>
      </c>
      <c r="B306" s="190"/>
      <c r="C306" s="96">
        <v>412900</v>
      </c>
      <c r="D306" s="75" t="s">
        <v>439</v>
      </c>
      <c r="E306" s="226">
        <v>1000</v>
      </c>
      <c r="F306" s="227">
        <f>G306-E306</f>
        <v>0</v>
      </c>
      <c r="G306" s="226">
        <v>1000</v>
      </c>
      <c r="H306" s="193">
        <f t="shared" si="41"/>
        <v>100</v>
      </c>
      <c r="I306" s="418">
        <f t="shared" si="40"/>
        <v>0.003123048094940662</v>
      </c>
      <c r="J306" s="6"/>
    </row>
    <row r="307" spans="1:10" ht="12.75">
      <c r="A307" s="129"/>
      <c r="B307" s="190" t="s">
        <v>362</v>
      </c>
      <c r="C307" s="90"/>
      <c r="D307" s="60" t="s">
        <v>305</v>
      </c>
      <c r="E307" s="223">
        <f>SUM(E308:E308)</f>
        <v>124100</v>
      </c>
      <c r="F307" s="223">
        <f>SUM(F308:F308)</f>
        <v>-3000</v>
      </c>
      <c r="G307" s="223">
        <f>SUM(G308:G308)</f>
        <v>121100</v>
      </c>
      <c r="H307" s="224">
        <f t="shared" si="41"/>
        <v>97.5825946817083</v>
      </c>
      <c r="I307" s="225">
        <f t="shared" si="40"/>
        <v>0.3782011242973142</v>
      </c>
      <c r="J307" s="6"/>
    </row>
    <row r="308" spans="1:10" ht="15.75" customHeight="1">
      <c r="A308" s="129" t="s">
        <v>23</v>
      </c>
      <c r="B308" s="190"/>
      <c r="C308" s="96">
        <v>419100</v>
      </c>
      <c r="D308" s="75" t="s">
        <v>364</v>
      </c>
      <c r="E308" s="326">
        <v>124100</v>
      </c>
      <c r="F308" s="326">
        <f>G308-E308</f>
        <v>-3000</v>
      </c>
      <c r="G308" s="326">
        <v>121100</v>
      </c>
      <c r="H308" s="193">
        <f t="shared" si="41"/>
        <v>97.5825946817083</v>
      </c>
      <c r="I308" s="418">
        <f t="shared" si="40"/>
        <v>0.3782011242973142</v>
      </c>
      <c r="J308" s="330"/>
    </row>
    <row r="309" spans="1:10" ht="12.75">
      <c r="A309" s="129"/>
      <c r="B309" s="190" t="s">
        <v>363</v>
      </c>
      <c r="C309" s="90"/>
      <c r="D309" s="60" t="s">
        <v>164</v>
      </c>
      <c r="E309" s="223">
        <f>SUM(E310)</f>
        <v>150000</v>
      </c>
      <c r="F309" s="223">
        <f>SUM(F310)</f>
        <v>0</v>
      </c>
      <c r="G309" s="223">
        <f>SUM(G310)</f>
        <v>150000</v>
      </c>
      <c r="H309" s="224">
        <f t="shared" si="41"/>
        <v>100</v>
      </c>
      <c r="I309" s="225">
        <f t="shared" si="40"/>
        <v>0.4684572142410993</v>
      </c>
      <c r="J309" s="6"/>
    </row>
    <row r="310" spans="1:10" ht="15.75" customHeight="1">
      <c r="A310" s="129" t="s">
        <v>23</v>
      </c>
      <c r="B310" s="228"/>
      <c r="C310" s="229">
        <v>513100</v>
      </c>
      <c r="D310" s="166" t="s">
        <v>228</v>
      </c>
      <c r="E310" s="68">
        <v>150000</v>
      </c>
      <c r="F310" s="68">
        <f>G310-E310</f>
        <v>0</v>
      </c>
      <c r="G310" s="68">
        <v>150000</v>
      </c>
      <c r="H310" s="193">
        <f t="shared" si="41"/>
        <v>100</v>
      </c>
      <c r="I310" s="418">
        <f t="shared" si="40"/>
        <v>0.4684572142410993</v>
      </c>
      <c r="J310" s="6"/>
    </row>
    <row r="311" spans="1:10" ht="25.5" customHeight="1">
      <c r="A311" s="129"/>
      <c r="B311" s="228"/>
      <c r="C311" s="501" t="s">
        <v>400</v>
      </c>
      <c r="D311" s="501"/>
      <c r="E311" s="230">
        <f>E304+E308+E309</f>
        <v>314100</v>
      </c>
      <c r="F311" s="230">
        <f>F304+F308+F309</f>
        <v>0</v>
      </c>
      <c r="G311" s="230">
        <f>G304+G308+G309</f>
        <v>314100</v>
      </c>
      <c r="H311" s="356">
        <f t="shared" si="41"/>
        <v>100</v>
      </c>
      <c r="I311" s="424">
        <f t="shared" si="40"/>
        <v>0.980949406620862</v>
      </c>
      <c r="J311" s="6"/>
    </row>
    <row r="312" spans="1:10" ht="9.75" customHeight="1">
      <c r="A312" s="511"/>
      <c r="B312" s="512"/>
      <c r="C312" s="503" t="s">
        <v>571</v>
      </c>
      <c r="D312" s="504"/>
      <c r="E312" s="197"/>
      <c r="F312" s="197"/>
      <c r="G312" s="197"/>
      <c r="H312" s="197"/>
      <c r="I312" s="198"/>
      <c r="J312" s="6"/>
    </row>
    <row r="313" spans="1:10" ht="9.75" customHeight="1">
      <c r="A313" s="511"/>
      <c r="B313" s="512"/>
      <c r="C313" s="504"/>
      <c r="D313" s="504"/>
      <c r="E313" s="199"/>
      <c r="F313" s="199"/>
      <c r="G313" s="199"/>
      <c r="H313" s="199"/>
      <c r="I313" s="200"/>
      <c r="J313" s="6"/>
    </row>
    <row r="314" spans="1:10" ht="30" customHeight="1">
      <c r="A314" s="511"/>
      <c r="B314" s="512"/>
      <c r="C314" s="504"/>
      <c r="D314" s="504"/>
      <c r="E314" s="201"/>
      <c r="F314" s="201"/>
      <c r="G314" s="201"/>
      <c r="H314" s="201"/>
      <c r="I314" s="202"/>
      <c r="J314" s="6"/>
    </row>
    <row r="315" spans="1:10" ht="14.25" customHeight="1">
      <c r="A315" s="129"/>
      <c r="B315" s="52">
        <v>412000</v>
      </c>
      <c r="C315" s="66"/>
      <c r="D315" s="143" t="s">
        <v>119</v>
      </c>
      <c r="E315" s="145">
        <f>SUM(E316:E319)</f>
        <v>42400</v>
      </c>
      <c r="F315" s="145">
        <f>SUM(F316:F319)</f>
        <v>0</v>
      </c>
      <c r="G315" s="145">
        <f>SUM(G316:G319)</f>
        <v>42400</v>
      </c>
      <c r="H315" s="145">
        <f>G315/E315*100</f>
        <v>100</v>
      </c>
      <c r="I315" s="181">
        <f aca="true" t="shared" si="42" ref="I315:I336">G315/$G$611*100</f>
        <v>0.13241723922548407</v>
      </c>
      <c r="J315" s="6"/>
    </row>
    <row r="316" spans="1:10" ht="12.75">
      <c r="A316" s="131" t="s">
        <v>45</v>
      </c>
      <c r="B316" s="132"/>
      <c r="C316" s="97">
        <v>412700</v>
      </c>
      <c r="D316" s="132" t="s">
        <v>44</v>
      </c>
      <c r="E316" s="154">
        <v>3000</v>
      </c>
      <c r="F316" s="154">
        <f>G316-E316</f>
        <v>0</v>
      </c>
      <c r="G316" s="154">
        <v>3000</v>
      </c>
      <c r="H316" s="148">
        <f aca="true" t="shared" si="43" ref="H316:H336">G316/E316*100</f>
        <v>100</v>
      </c>
      <c r="I316" s="417">
        <f t="shared" si="42"/>
        <v>0.009369144284821987</v>
      </c>
      <c r="J316" s="6"/>
    </row>
    <row r="317" spans="1:10" ht="12.75">
      <c r="A317" s="129" t="s">
        <v>45</v>
      </c>
      <c r="B317" s="132"/>
      <c r="C317" s="97">
        <v>412700</v>
      </c>
      <c r="D317" s="88" t="s">
        <v>101</v>
      </c>
      <c r="E317" s="152">
        <v>39000</v>
      </c>
      <c r="F317" s="154">
        <f>G317-E317</f>
        <v>0</v>
      </c>
      <c r="G317" s="152">
        <v>39000</v>
      </c>
      <c r="H317" s="148">
        <f t="shared" si="43"/>
        <v>100</v>
      </c>
      <c r="I317" s="417">
        <f t="shared" si="42"/>
        <v>0.12179887570268583</v>
      </c>
      <c r="J317" s="6"/>
    </row>
    <row r="318" spans="1:10" ht="12.75" customHeight="1" hidden="1">
      <c r="A318" s="129" t="s">
        <v>283</v>
      </c>
      <c r="B318" s="132"/>
      <c r="C318" s="97">
        <v>412700</v>
      </c>
      <c r="D318" s="88" t="s">
        <v>287</v>
      </c>
      <c r="E318" s="152"/>
      <c r="F318" s="154">
        <f>G318-E318</f>
        <v>0</v>
      </c>
      <c r="G318" s="152"/>
      <c r="H318" s="148" t="e">
        <f t="shared" si="43"/>
        <v>#DIV/0!</v>
      </c>
      <c r="I318" s="417">
        <f t="shared" si="42"/>
        <v>0</v>
      </c>
      <c r="J318" s="6"/>
    </row>
    <row r="319" spans="1:10" ht="12.75">
      <c r="A319" s="129" t="s">
        <v>23</v>
      </c>
      <c r="B319" s="132"/>
      <c r="C319" s="66">
        <v>412900</v>
      </c>
      <c r="D319" s="203" t="s">
        <v>0</v>
      </c>
      <c r="E319" s="152">
        <v>400</v>
      </c>
      <c r="F319" s="154">
        <f>G319-E319</f>
        <v>0</v>
      </c>
      <c r="G319" s="152">
        <v>400</v>
      </c>
      <c r="H319" s="148">
        <f t="shared" si="43"/>
        <v>100</v>
      </c>
      <c r="I319" s="417">
        <f t="shared" si="42"/>
        <v>0.0012492192379762648</v>
      </c>
      <c r="J319" s="6"/>
    </row>
    <row r="320" spans="1:10" ht="14.25" customHeight="1">
      <c r="A320" s="129"/>
      <c r="B320" s="52">
        <v>414000</v>
      </c>
      <c r="C320" s="97"/>
      <c r="D320" s="231" t="s">
        <v>174</v>
      </c>
      <c r="E320" s="183">
        <f>SUM(E321:E322)</f>
        <v>550000</v>
      </c>
      <c r="F320" s="183">
        <f>SUM(F321:F322)</f>
        <v>-9795</v>
      </c>
      <c r="G320" s="183">
        <f>SUM(G321:G322)</f>
        <v>540205</v>
      </c>
      <c r="H320" s="145">
        <f t="shared" si="43"/>
        <v>98.21909090909091</v>
      </c>
      <c r="I320" s="181">
        <f t="shared" si="42"/>
        <v>1.6870861961274204</v>
      </c>
      <c r="J320" s="6"/>
    </row>
    <row r="321" spans="1:10" ht="18" customHeight="1">
      <c r="A321" s="129" t="s">
        <v>45</v>
      </c>
      <c r="B321" s="132"/>
      <c r="C321" s="97">
        <v>414100</v>
      </c>
      <c r="D321" s="166" t="s">
        <v>175</v>
      </c>
      <c r="E321" s="154">
        <v>550000</v>
      </c>
      <c r="F321" s="154">
        <f>G321-E321</f>
        <v>-9795</v>
      </c>
      <c r="G321" s="154">
        <v>540205</v>
      </c>
      <c r="H321" s="148">
        <f t="shared" si="43"/>
        <v>98.21909090909091</v>
      </c>
      <c r="I321" s="417">
        <f t="shared" si="42"/>
        <v>1.6870861961274204</v>
      </c>
      <c r="J321" s="6"/>
    </row>
    <row r="322" spans="1:10" ht="9.75" customHeight="1" hidden="1">
      <c r="A322" s="129" t="s">
        <v>45</v>
      </c>
      <c r="B322" s="132"/>
      <c r="C322" s="97">
        <v>414100</v>
      </c>
      <c r="D322" s="166" t="s">
        <v>435</v>
      </c>
      <c r="E322" s="154">
        <v>0</v>
      </c>
      <c r="F322" s="154">
        <f>G322-E322</f>
        <v>0</v>
      </c>
      <c r="G322" s="154">
        <v>0</v>
      </c>
      <c r="H322" s="148" t="e">
        <f t="shared" si="43"/>
        <v>#DIV/0!</v>
      </c>
      <c r="I322" s="417">
        <f t="shared" si="42"/>
        <v>0</v>
      </c>
      <c r="J322" s="330"/>
    </row>
    <row r="323" spans="1:10" ht="15.75" customHeight="1">
      <c r="A323" s="129"/>
      <c r="B323" s="404">
        <v>415000</v>
      </c>
      <c r="C323" s="97"/>
      <c r="D323" s="374" t="s">
        <v>133</v>
      </c>
      <c r="E323" s="405">
        <f>SUM(E324)</f>
        <v>40000</v>
      </c>
      <c r="F323" s="405">
        <f>SUM(F324)</f>
        <v>-12800</v>
      </c>
      <c r="G323" s="405">
        <f>SUM(G324)</f>
        <v>27200</v>
      </c>
      <c r="H323" s="145">
        <f t="shared" si="43"/>
        <v>68</v>
      </c>
      <c r="I323" s="181">
        <f t="shared" si="42"/>
        <v>0.08494690818238601</v>
      </c>
      <c r="J323" s="330"/>
    </row>
    <row r="324" spans="1:10" ht="15.75" customHeight="1">
      <c r="A324" s="129" t="s">
        <v>45</v>
      </c>
      <c r="B324" s="132"/>
      <c r="C324" s="97">
        <v>415200</v>
      </c>
      <c r="D324" s="372" t="s">
        <v>617</v>
      </c>
      <c r="E324" s="154">
        <v>40000</v>
      </c>
      <c r="F324" s="154">
        <f>G324-E324</f>
        <v>-12800</v>
      </c>
      <c r="G324" s="154">
        <v>27200</v>
      </c>
      <c r="H324" s="148">
        <f t="shared" si="43"/>
        <v>68</v>
      </c>
      <c r="I324" s="417">
        <f t="shared" si="42"/>
        <v>0.08494690818238601</v>
      </c>
      <c r="J324" s="330"/>
    </row>
    <row r="325" spans="1:10" ht="14.25" customHeight="1">
      <c r="A325" s="129"/>
      <c r="B325" s="52">
        <v>416000</v>
      </c>
      <c r="C325" s="97"/>
      <c r="D325" s="143" t="s">
        <v>1</v>
      </c>
      <c r="E325" s="232">
        <f>SUM(E326:E326)</f>
        <v>4000</v>
      </c>
      <c r="F325" s="232">
        <f>SUM(F326:F326)</f>
        <v>0</v>
      </c>
      <c r="G325" s="232">
        <f>SUM(G326:G326)</f>
        <v>4000</v>
      </c>
      <c r="H325" s="145">
        <f t="shared" si="43"/>
        <v>100</v>
      </c>
      <c r="I325" s="181">
        <f t="shared" si="42"/>
        <v>0.012492192379762648</v>
      </c>
      <c r="J325" s="6"/>
    </row>
    <row r="326" spans="1:10" ht="12.75">
      <c r="A326" s="129" t="s">
        <v>45</v>
      </c>
      <c r="B326" s="132"/>
      <c r="C326" s="77">
        <v>416100</v>
      </c>
      <c r="D326" s="88" t="s">
        <v>178</v>
      </c>
      <c r="E326" s="154">
        <v>4000</v>
      </c>
      <c r="F326" s="154">
        <f>G326-E326</f>
        <v>0</v>
      </c>
      <c r="G326" s="154">
        <v>4000</v>
      </c>
      <c r="H326" s="148">
        <f t="shared" si="43"/>
        <v>100</v>
      </c>
      <c r="I326" s="417">
        <f t="shared" si="42"/>
        <v>0.012492192379762648</v>
      </c>
      <c r="J326" s="6"/>
    </row>
    <row r="327" spans="1:10" ht="25.5">
      <c r="A327" s="129"/>
      <c r="B327" s="132"/>
      <c r="C327" s="77"/>
      <c r="D327" s="143" t="s">
        <v>299</v>
      </c>
      <c r="E327" s="233">
        <f>SUM(E328:E329)</f>
        <v>226000</v>
      </c>
      <c r="F327" s="233">
        <f>SUM(F328:F329)</f>
        <v>0</v>
      </c>
      <c r="G327" s="233">
        <f>SUM(G328:G329)</f>
        <v>226000</v>
      </c>
      <c r="H327" s="145">
        <f t="shared" si="43"/>
        <v>100</v>
      </c>
      <c r="I327" s="181">
        <f t="shared" si="42"/>
        <v>0.7058088694565897</v>
      </c>
      <c r="J327" s="6"/>
    </row>
    <row r="328" spans="1:10" ht="14.25" customHeight="1">
      <c r="A328" s="129" t="s">
        <v>39</v>
      </c>
      <c r="B328" s="132"/>
      <c r="C328" s="77">
        <v>412500</v>
      </c>
      <c r="D328" s="88" t="s">
        <v>403</v>
      </c>
      <c r="E328" s="152">
        <v>50000</v>
      </c>
      <c r="F328" s="152">
        <f>G328-E328</f>
        <v>0</v>
      </c>
      <c r="G328" s="152">
        <v>50000</v>
      </c>
      <c r="H328" s="148">
        <f t="shared" si="43"/>
        <v>100</v>
      </c>
      <c r="I328" s="417">
        <f t="shared" si="42"/>
        <v>0.1561524047470331</v>
      </c>
      <c r="J328" s="6"/>
    </row>
    <row r="329" spans="1:10" ht="25.5">
      <c r="A329" s="129" t="s">
        <v>39</v>
      </c>
      <c r="B329" s="132"/>
      <c r="C329" s="77">
        <v>511200</v>
      </c>
      <c r="D329" s="88" t="s">
        <v>484</v>
      </c>
      <c r="E329" s="152">
        <v>176000</v>
      </c>
      <c r="F329" s="152">
        <f>G329-E329</f>
        <v>0</v>
      </c>
      <c r="G329" s="152">
        <v>176000</v>
      </c>
      <c r="H329" s="148">
        <f t="shared" si="43"/>
        <v>100</v>
      </c>
      <c r="I329" s="417">
        <f t="shared" si="42"/>
        <v>0.5496564647095565</v>
      </c>
      <c r="J329" s="6"/>
    </row>
    <row r="330" spans="1:10" ht="26.25" customHeight="1">
      <c r="A330" s="129"/>
      <c r="B330" s="132"/>
      <c r="C330" s="85"/>
      <c r="D330" s="143" t="s">
        <v>110</v>
      </c>
      <c r="E330" s="183">
        <f>SUM(E331:E335)</f>
        <v>225000</v>
      </c>
      <c r="F330" s="183">
        <f>SUM(F331:F335)</f>
        <v>-45000</v>
      </c>
      <c r="G330" s="183">
        <f>SUM(G331:G335)</f>
        <v>180000</v>
      </c>
      <c r="H330" s="145">
        <f t="shared" si="43"/>
        <v>80</v>
      </c>
      <c r="I330" s="181">
        <f t="shared" si="42"/>
        <v>0.5621486570893192</v>
      </c>
      <c r="J330" s="6"/>
    </row>
    <row r="331" spans="1:10" ht="14.25" customHeight="1">
      <c r="A331" s="131" t="s">
        <v>161</v>
      </c>
      <c r="B331" s="132"/>
      <c r="C331" s="97">
        <v>412700</v>
      </c>
      <c r="D331" s="88" t="s">
        <v>111</v>
      </c>
      <c r="E331" s="154">
        <v>5000</v>
      </c>
      <c r="F331" s="154">
        <f>G331-E331</f>
        <v>1435</v>
      </c>
      <c r="G331" s="154">
        <v>6435</v>
      </c>
      <c r="H331" s="148">
        <f t="shared" si="43"/>
        <v>128.7</v>
      </c>
      <c r="I331" s="417">
        <f t="shared" si="42"/>
        <v>0.020096814490943162</v>
      </c>
      <c r="J331" s="6"/>
    </row>
    <row r="332" spans="1:10" ht="12.75">
      <c r="A332" s="131" t="s">
        <v>45</v>
      </c>
      <c r="B332" s="132"/>
      <c r="C332" s="77">
        <v>412800</v>
      </c>
      <c r="D332" s="88" t="s">
        <v>268</v>
      </c>
      <c r="E332" s="154">
        <v>10000</v>
      </c>
      <c r="F332" s="154">
        <f>G332-E332</f>
        <v>0</v>
      </c>
      <c r="G332" s="154">
        <v>10000</v>
      </c>
      <c r="H332" s="148">
        <f t="shared" si="43"/>
        <v>100</v>
      </c>
      <c r="I332" s="417">
        <f t="shared" si="42"/>
        <v>0.03123048094940662</v>
      </c>
      <c r="J332" s="6"/>
    </row>
    <row r="333" spans="1:10" ht="6" customHeight="1" hidden="1">
      <c r="A333" s="131" t="s">
        <v>159</v>
      </c>
      <c r="B333" s="132"/>
      <c r="C333" s="77">
        <v>415200</v>
      </c>
      <c r="D333" s="93" t="s">
        <v>384</v>
      </c>
      <c r="E333" s="154"/>
      <c r="F333" s="154">
        <f>G333-E333</f>
        <v>0</v>
      </c>
      <c r="G333" s="154"/>
      <c r="H333" s="148" t="e">
        <f t="shared" si="43"/>
        <v>#DIV/0!</v>
      </c>
      <c r="I333" s="417">
        <f t="shared" si="42"/>
        <v>0</v>
      </c>
      <c r="J333" s="6"/>
    </row>
    <row r="334" spans="1:10" ht="15.75" customHeight="1">
      <c r="A334" s="234" t="s">
        <v>159</v>
      </c>
      <c r="B334" s="132"/>
      <c r="C334" s="77">
        <v>415200</v>
      </c>
      <c r="D334" s="125" t="s">
        <v>445</v>
      </c>
      <c r="E334" s="154">
        <v>25000</v>
      </c>
      <c r="F334" s="154">
        <f>G334-E334</f>
        <v>0</v>
      </c>
      <c r="G334" s="154">
        <v>25000</v>
      </c>
      <c r="H334" s="148">
        <f t="shared" si="43"/>
        <v>100</v>
      </c>
      <c r="I334" s="417">
        <f t="shared" si="42"/>
        <v>0.07807620237351655</v>
      </c>
      <c r="J334" s="6"/>
    </row>
    <row r="335" spans="1:10" ht="25.5" customHeight="1">
      <c r="A335" s="131" t="s">
        <v>159</v>
      </c>
      <c r="B335" s="132"/>
      <c r="C335" s="77">
        <v>511200</v>
      </c>
      <c r="D335" s="125" t="s">
        <v>430</v>
      </c>
      <c r="E335" s="154">
        <v>185000</v>
      </c>
      <c r="F335" s="154">
        <f>G335-E335</f>
        <v>-46435</v>
      </c>
      <c r="G335" s="154">
        <v>138565</v>
      </c>
      <c r="H335" s="148">
        <f t="shared" si="43"/>
        <v>74.9</v>
      </c>
      <c r="I335" s="417">
        <f t="shared" si="42"/>
        <v>0.4327451592754528</v>
      </c>
      <c r="J335" s="6"/>
    </row>
    <row r="336" spans="1:10" ht="24.75" customHeight="1">
      <c r="A336" s="507"/>
      <c r="B336" s="508"/>
      <c r="C336" s="501" t="s">
        <v>84</v>
      </c>
      <c r="D336" s="501"/>
      <c r="E336" s="167">
        <f>E315+E320+E325+E327+E330+E323</f>
        <v>1087400</v>
      </c>
      <c r="F336" s="167">
        <f>F315+F320+F325+F327+F330+F323</f>
        <v>-67595</v>
      </c>
      <c r="G336" s="167">
        <f>G315+G320+G325+G327+G330+G323</f>
        <v>1019805</v>
      </c>
      <c r="H336" s="382">
        <f t="shared" si="43"/>
        <v>93.78379621114586</v>
      </c>
      <c r="I336" s="358">
        <f t="shared" si="42"/>
        <v>3.1849000624609616</v>
      </c>
      <c r="J336" s="6"/>
    </row>
    <row r="337" spans="1:10" ht="12.75">
      <c r="A337" s="511"/>
      <c r="B337" s="512"/>
      <c r="C337" s="503" t="s">
        <v>570</v>
      </c>
      <c r="D337" s="504"/>
      <c r="E337" s="197"/>
      <c r="F337" s="197"/>
      <c r="G337" s="197"/>
      <c r="H337" s="197"/>
      <c r="I337" s="198"/>
      <c r="J337" s="6"/>
    </row>
    <row r="338" spans="1:10" ht="12.75">
      <c r="A338" s="511"/>
      <c r="B338" s="512"/>
      <c r="C338" s="504"/>
      <c r="D338" s="504"/>
      <c r="E338" s="199"/>
      <c r="F338" s="199"/>
      <c r="G338" s="199"/>
      <c r="H338" s="199"/>
      <c r="I338" s="200"/>
      <c r="J338" s="6"/>
    </row>
    <row r="339" spans="1:10" ht="17.25" customHeight="1">
      <c r="A339" s="511"/>
      <c r="B339" s="512"/>
      <c r="C339" s="504"/>
      <c r="D339" s="504"/>
      <c r="E339" s="201"/>
      <c r="F339" s="201"/>
      <c r="G339" s="201"/>
      <c r="H339" s="201"/>
      <c r="I339" s="202"/>
      <c r="J339" s="6"/>
    </row>
    <row r="340" spans="1:10" ht="14.25" customHeight="1">
      <c r="A340" s="129"/>
      <c r="B340" s="52">
        <v>411000</v>
      </c>
      <c r="C340" s="78"/>
      <c r="D340" s="71" t="s">
        <v>321</v>
      </c>
      <c r="E340" s="144">
        <f>SUM(E341:E344)</f>
        <v>388800</v>
      </c>
      <c r="F340" s="144">
        <f>SUM(F341:F344)</f>
        <v>-14025</v>
      </c>
      <c r="G340" s="144">
        <f>SUM(G341:G344)</f>
        <v>374775</v>
      </c>
      <c r="H340" s="145">
        <f>G340/E340*100</f>
        <v>96.39274691358025</v>
      </c>
      <c r="I340" s="181">
        <f aca="true" t="shared" si="44" ref="I340:I383">G340/$G$611*100</f>
        <v>1.1704403497813867</v>
      </c>
      <c r="J340" s="6"/>
    </row>
    <row r="341" spans="1:10" ht="12.75" customHeight="1">
      <c r="A341" s="129">
        <v>1090</v>
      </c>
      <c r="B341" s="132"/>
      <c r="C341" s="66">
        <v>411100</v>
      </c>
      <c r="D341" s="72" t="s">
        <v>317</v>
      </c>
      <c r="E341" s="148">
        <v>287000</v>
      </c>
      <c r="F341" s="148">
        <f>G341-E341</f>
        <v>-5500</v>
      </c>
      <c r="G341" s="148">
        <v>281500</v>
      </c>
      <c r="H341" s="148">
        <f aca="true" t="shared" si="45" ref="H341:H383">G341/E341*100</f>
        <v>98.08362369337979</v>
      </c>
      <c r="I341" s="417">
        <f t="shared" si="44"/>
        <v>0.8791380387257963</v>
      </c>
      <c r="J341" s="6"/>
    </row>
    <row r="342" spans="1:10" ht="25.5">
      <c r="A342" s="129">
        <v>1090</v>
      </c>
      <c r="B342" s="132"/>
      <c r="C342" s="66">
        <v>411200</v>
      </c>
      <c r="D342" s="72" t="s">
        <v>322</v>
      </c>
      <c r="E342" s="152">
        <v>73800</v>
      </c>
      <c r="F342" s="148">
        <f>G342-E342</f>
        <v>-525</v>
      </c>
      <c r="G342" s="152">
        <v>73275</v>
      </c>
      <c r="H342" s="148">
        <f t="shared" si="45"/>
        <v>99.28861788617887</v>
      </c>
      <c r="I342" s="417">
        <f t="shared" si="44"/>
        <v>0.228841349156777</v>
      </c>
      <c r="J342" s="6"/>
    </row>
    <row r="343" spans="1:10" ht="25.5">
      <c r="A343" s="129">
        <v>1090</v>
      </c>
      <c r="B343" s="132"/>
      <c r="C343" s="66">
        <v>411300</v>
      </c>
      <c r="D343" s="72" t="s">
        <v>404</v>
      </c>
      <c r="E343" s="152">
        <v>22000</v>
      </c>
      <c r="F343" s="148">
        <f>G343-E343</f>
        <v>-8000</v>
      </c>
      <c r="G343" s="152">
        <v>14000</v>
      </c>
      <c r="H343" s="148">
        <f t="shared" si="45"/>
        <v>63.63636363636363</v>
      </c>
      <c r="I343" s="417">
        <f t="shared" si="44"/>
        <v>0.04372267332916927</v>
      </c>
      <c r="J343" s="6"/>
    </row>
    <row r="344" spans="1:10" ht="12.75" customHeight="1">
      <c r="A344" s="129">
        <v>1090</v>
      </c>
      <c r="B344" s="132"/>
      <c r="C344" s="66">
        <v>411400</v>
      </c>
      <c r="D344" s="73" t="s">
        <v>318</v>
      </c>
      <c r="E344" s="154">
        <v>6000</v>
      </c>
      <c r="F344" s="148">
        <f>G344-E344</f>
        <v>0</v>
      </c>
      <c r="G344" s="154">
        <v>6000</v>
      </c>
      <c r="H344" s="148">
        <f t="shared" si="45"/>
        <v>100</v>
      </c>
      <c r="I344" s="417">
        <f t="shared" si="44"/>
        <v>0.018738288569643973</v>
      </c>
      <c r="J344" s="6"/>
    </row>
    <row r="345" spans="1:10" ht="14.25" customHeight="1">
      <c r="A345" s="129"/>
      <c r="B345" s="52">
        <v>412000</v>
      </c>
      <c r="C345" s="66"/>
      <c r="D345" s="143" t="s">
        <v>119</v>
      </c>
      <c r="E345" s="183">
        <f>SUM(E346:E357)</f>
        <v>160200</v>
      </c>
      <c r="F345" s="183">
        <f>SUM(F346:F357)</f>
        <v>2125.5</v>
      </c>
      <c r="G345" s="183">
        <f>SUM(G346:G357)</f>
        <v>162325.5</v>
      </c>
      <c r="H345" s="145">
        <f t="shared" si="45"/>
        <v>101.32677902621722</v>
      </c>
      <c r="I345" s="181">
        <f t="shared" si="44"/>
        <v>0.5069503435352904</v>
      </c>
      <c r="J345" s="6"/>
    </row>
    <row r="346" spans="1:10" ht="26.25" customHeight="1">
      <c r="A346" s="129">
        <v>1090</v>
      </c>
      <c r="B346" s="132"/>
      <c r="C346" s="66">
        <v>412200</v>
      </c>
      <c r="D346" s="88" t="s">
        <v>121</v>
      </c>
      <c r="E346" s="154">
        <v>70150</v>
      </c>
      <c r="F346" s="152">
        <f aca="true" t="shared" si="46" ref="F346:F357">G346-E346</f>
        <v>-3187.5</v>
      </c>
      <c r="G346" s="154">
        <v>66962.5</v>
      </c>
      <c r="H346" s="148">
        <f t="shared" si="45"/>
        <v>95.45616535994299</v>
      </c>
      <c r="I346" s="417">
        <f t="shared" si="44"/>
        <v>0.20912710805746407</v>
      </c>
      <c r="J346" s="6"/>
    </row>
    <row r="347" spans="1:10" ht="26.25" customHeight="1">
      <c r="A347" s="129" t="s">
        <v>28</v>
      </c>
      <c r="B347" s="132"/>
      <c r="C347" s="66">
        <v>412200</v>
      </c>
      <c r="D347" s="88" t="s">
        <v>728</v>
      </c>
      <c r="E347" s="154">
        <v>0</v>
      </c>
      <c r="F347" s="152">
        <f t="shared" si="46"/>
        <v>2000</v>
      </c>
      <c r="G347" s="154">
        <v>2000</v>
      </c>
      <c r="H347" s="148" t="e">
        <f t="shared" si="45"/>
        <v>#DIV/0!</v>
      </c>
      <c r="I347" s="417">
        <f t="shared" si="44"/>
        <v>0.006246096189881324</v>
      </c>
      <c r="J347" s="6"/>
    </row>
    <row r="348" spans="1:10" ht="12.75" customHeight="1">
      <c r="A348" s="129">
        <v>1090</v>
      </c>
      <c r="B348" s="132"/>
      <c r="C348" s="66">
        <v>412300</v>
      </c>
      <c r="D348" s="132" t="s">
        <v>122</v>
      </c>
      <c r="E348" s="154">
        <v>6500</v>
      </c>
      <c r="F348" s="152">
        <f t="shared" si="46"/>
        <v>-325</v>
      </c>
      <c r="G348" s="154">
        <v>6175</v>
      </c>
      <c r="H348" s="148">
        <f t="shared" si="45"/>
        <v>95</v>
      </c>
      <c r="I348" s="417">
        <f t="shared" si="44"/>
        <v>0.01928482198625859</v>
      </c>
      <c r="J348" s="6"/>
    </row>
    <row r="349" spans="1:10" ht="28.5" customHeight="1">
      <c r="A349" s="129" t="s">
        <v>28</v>
      </c>
      <c r="B349" s="132"/>
      <c r="C349" s="66">
        <v>412400</v>
      </c>
      <c r="D349" s="88" t="s">
        <v>728</v>
      </c>
      <c r="E349" s="154">
        <v>0</v>
      </c>
      <c r="F349" s="152">
        <f t="shared" si="46"/>
        <v>5808</v>
      </c>
      <c r="G349" s="154">
        <v>5808</v>
      </c>
      <c r="H349" s="148" t="e">
        <f t="shared" si="45"/>
        <v>#DIV/0!</v>
      </c>
      <c r="I349" s="417">
        <f t="shared" si="44"/>
        <v>0.018138663335415365</v>
      </c>
      <c r="J349" s="6"/>
    </row>
    <row r="350" spans="1:10" ht="12.75" customHeight="1">
      <c r="A350" s="129">
        <v>1090</v>
      </c>
      <c r="B350" s="132"/>
      <c r="C350" s="66">
        <v>412500</v>
      </c>
      <c r="D350" s="132" t="s">
        <v>124</v>
      </c>
      <c r="E350" s="154">
        <v>3000</v>
      </c>
      <c r="F350" s="152">
        <f t="shared" si="46"/>
        <v>-170</v>
      </c>
      <c r="G350" s="154">
        <v>2830</v>
      </c>
      <c r="H350" s="148">
        <f t="shared" si="45"/>
        <v>94.33333333333334</v>
      </c>
      <c r="I350" s="417">
        <f t="shared" si="44"/>
        <v>0.008838226108682073</v>
      </c>
      <c r="J350" s="6"/>
    </row>
    <row r="351" spans="1:10" ht="12.75" customHeight="1">
      <c r="A351" s="129">
        <v>1090</v>
      </c>
      <c r="B351" s="132"/>
      <c r="C351" s="66">
        <v>412600</v>
      </c>
      <c r="D351" s="203" t="s">
        <v>125</v>
      </c>
      <c r="E351" s="154">
        <v>600</v>
      </c>
      <c r="F351" s="152">
        <f t="shared" si="46"/>
        <v>0</v>
      </c>
      <c r="G351" s="154">
        <v>600</v>
      </c>
      <c r="H351" s="148">
        <f t="shared" si="45"/>
        <v>100</v>
      </c>
      <c r="I351" s="417">
        <f t="shared" si="44"/>
        <v>0.0018738288569643971</v>
      </c>
      <c r="J351" s="6"/>
    </row>
    <row r="352" spans="1:10" ht="12.75" customHeight="1">
      <c r="A352" s="129" t="s">
        <v>28</v>
      </c>
      <c r="B352" s="132"/>
      <c r="C352" s="132">
        <v>412700</v>
      </c>
      <c r="D352" s="132" t="s">
        <v>126</v>
      </c>
      <c r="E352" s="154">
        <v>3500</v>
      </c>
      <c r="F352" s="152">
        <f t="shared" si="46"/>
        <v>0</v>
      </c>
      <c r="G352" s="154">
        <v>3500</v>
      </c>
      <c r="H352" s="148">
        <f t="shared" si="45"/>
        <v>100</v>
      </c>
      <c r="I352" s="417">
        <f t="shared" si="44"/>
        <v>0.010930668332292318</v>
      </c>
      <c r="J352" s="6"/>
    </row>
    <row r="353" spans="1:10" ht="12.75" customHeight="1">
      <c r="A353" s="129" t="s">
        <v>28</v>
      </c>
      <c r="B353" s="132"/>
      <c r="C353" s="132">
        <v>412900</v>
      </c>
      <c r="D353" s="132" t="s">
        <v>483</v>
      </c>
      <c r="E353" s="154">
        <v>19000</v>
      </c>
      <c r="F353" s="152">
        <f t="shared" si="46"/>
        <v>13000</v>
      </c>
      <c r="G353" s="154">
        <v>32000</v>
      </c>
      <c r="H353" s="148">
        <f t="shared" si="45"/>
        <v>168.42105263157893</v>
      </c>
      <c r="I353" s="417">
        <f t="shared" si="44"/>
        <v>0.09993753903810118</v>
      </c>
      <c r="J353" s="6"/>
    </row>
    <row r="354" spans="1:10" ht="12.75" customHeight="1">
      <c r="A354" s="129" t="s">
        <v>28</v>
      </c>
      <c r="B354" s="132"/>
      <c r="C354" s="132">
        <v>412900</v>
      </c>
      <c r="D354" s="132" t="s">
        <v>128</v>
      </c>
      <c r="E354" s="154">
        <v>3000</v>
      </c>
      <c r="F354" s="152">
        <f t="shared" si="46"/>
        <v>0</v>
      </c>
      <c r="G354" s="154">
        <v>3000</v>
      </c>
      <c r="H354" s="148">
        <f t="shared" si="45"/>
        <v>100</v>
      </c>
      <c r="I354" s="417">
        <f t="shared" si="44"/>
        <v>0.009369144284821987</v>
      </c>
      <c r="J354" s="6"/>
    </row>
    <row r="355" spans="1:10" ht="12.75" customHeight="1">
      <c r="A355" s="129" t="s">
        <v>28</v>
      </c>
      <c r="B355" s="132"/>
      <c r="C355" s="132">
        <v>412900</v>
      </c>
      <c r="D355" s="132" t="s">
        <v>416</v>
      </c>
      <c r="E355" s="154">
        <v>20000</v>
      </c>
      <c r="F355" s="152">
        <f t="shared" si="46"/>
        <v>-15000</v>
      </c>
      <c r="G355" s="154">
        <v>5000</v>
      </c>
      <c r="H355" s="148">
        <f t="shared" si="45"/>
        <v>25</v>
      </c>
      <c r="I355" s="417">
        <f t="shared" si="44"/>
        <v>0.01561524047470331</v>
      </c>
      <c r="J355" s="6"/>
    </row>
    <row r="356" spans="1:10" ht="12.75" customHeight="1">
      <c r="A356" s="249" t="s">
        <v>28</v>
      </c>
      <c r="B356" s="132"/>
      <c r="C356" s="132">
        <v>418400</v>
      </c>
      <c r="D356" s="88" t="s">
        <v>557</v>
      </c>
      <c r="E356" s="154">
        <v>22850</v>
      </c>
      <c r="F356" s="152">
        <f t="shared" si="46"/>
        <v>0</v>
      </c>
      <c r="G356" s="154">
        <v>22850</v>
      </c>
      <c r="H356" s="148">
        <f t="shared" si="45"/>
        <v>100</v>
      </c>
      <c r="I356" s="417">
        <f t="shared" si="44"/>
        <v>0.07136164896939412</v>
      </c>
      <c r="J356" s="6"/>
    </row>
    <row r="357" spans="1:10" ht="27.75" customHeight="1">
      <c r="A357" s="249" t="s">
        <v>28</v>
      </c>
      <c r="B357" s="132"/>
      <c r="C357" s="132">
        <v>418400</v>
      </c>
      <c r="D357" s="88" t="s">
        <v>558</v>
      </c>
      <c r="E357" s="154">
        <v>11600</v>
      </c>
      <c r="F357" s="152">
        <f t="shared" si="46"/>
        <v>0</v>
      </c>
      <c r="G357" s="154">
        <v>11600</v>
      </c>
      <c r="H357" s="148">
        <f t="shared" si="45"/>
        <v>100</v>
      </c>
      <c r="I357" s="417">
        <f t="shared" si="44"/>
        <v>0.03622735790131168</v>
      </c>
      <c r="J357" s="6"/>
    </row>
    <row r="358" spans="1:10" ht="14.25" customHeight="1">
      <c r="A358" s="129"/>
      <c r="B358" s="52"/>
      <c r="C358" s="66"/>
      <c r="D358" s="155" t="s">
        <v>46</v>
      </c>
      <c r="E358" s="149">
        <f>SUM(E359:E373)</f>
        <v>3351500</v>
      </c>
      <c r="F358" s="149">
        <f>SUM(F359:F373)</f>
        <v>89600</v>
      </c>
      <c r="G358" s="149">
        <f>SUM(G359:G373)</f>
        <v>3441100</v>
      </c>
      <c r="H358" s="145">
        <f t="shared" si="45"/>
        <v>102.67342980754886</v>
      </c>
      <c r="I358" s="181">
        <f t="shared" si="44"/>
        <v>10.746720799500311</v>
      </c>
      <c r="J358" s="6"/>
    </row>
    <row r="359" spans="1:10" ht="12.75">
      <c r="A359" s="129">
        <v>1090</v>
      </c>
      <c r="B359" s="132"/>
      <c r="C359" s="66">
        <v>416100</v>
      </c>
      <c r="D359" s="88" t="s">
        <v>48</v>
      </c>
      <c r="E359" s="152">
        <v>100000</v>
      </c>
      <c r="F359" s="152">
        <f>G359-E359</f>
        <v>0</v>
      </c>
      <c r="G359" s="152">
        <v>100000</v>
      </c>
      <c r="H359" s="148">
        <f t="shared" si="45"/>
        <v>100</v>
      </c>
      <c r="I359" s="417">
        <f t="shared" si="44"/>
        <v>0.3123048094940662</v>
      </c>
      <c r="J359" s="6"/>
    </row>
    <row r="360" spans="1:10" ht="12.75" customHeight="1">
      <c r="A360" s="129" t="s">
        <v>28</v>
      </c>
      <c r="B360" s="132"/>
      <c r="C360" s="66">
        <v>416100</v>
      </c>
      <c r="D360" s="88" t="s">
        <v>190</v>
      </c>
      <c r="E360" s="152">
        <v>100000</v>
      </c>
      <c r="F360" s="152">
        <f aca="true" t="shared" si="47" ref="F360:F373">G360-E360</f>
        <v>0</v>
      </c>
      <c r="G360" s="152">
        <v>100000</v>
      </c>
      <c r="H360" s="148">
        <f t="shared" si="45"/>
        <v>100</v>
      </c>
      <c r="I360" s="417">
        <f t="shared" si="44"/>
        <v>0.3123048094940662</v>
      </c>
      <c r="J360" s="6"/>
    </row>
    <row r="361" spans="1:10" ht="12.75" customHeight="1">
      <c r="A361" s="129">
        <v>1090</v>
      </c>
      <c r="B361" s="132"/>
      <c r="C361" s="66">
        <v>416100</v>
      </c>
      <c r="D361" s="88" t="s">
        <v>103</v>
      </c>
      <c r="E361" s="196">
        <v>960000</v>
      </c>
      <c r="F361" s="152">
        <f t="shared" si="47"/>
        <v>34300</v>
      </c>
      <c r="G361" s="196">
        <v>994300</v>
      </c>
      <c r="H361" s="148">
        <f t="shared" si="45"/>
        <v>103.57291666666666</v>
      </c>
      <c r="I361" s="417">
        <f t="shared" si="44"/>
        <v>3.1052467207995003</v>
      </c>
      <c r="J361" s="6"/>
    </row>
    <row r="362" spans="1:10" ht="12.75">
      <c r="A362" s="129" t="s">
        <v>28</v>
      </c>
      <c r="B362" s="132"/>
      <c r="C362" s="66">
        <v>416100</v>
      </c>
      <c r="D362" s="88" t="s">
        <v>191</v>
      </c>
      <c r="E362" s="196">
        <v>960000</v>
      </c>
      <c r="F362" s="152">
        <f t="shared" si="47"/>
        <v>34300</v>
      </c>
      <c r="G362" s="196">
        <v>994300</v>
      </c>
      <c r="H362" s="148">
        <f t="shared" si="45"/>
        <v>103.57291666666666</v>
      </c>
      <c r="I362" s="417">
        <f t="shared" si="44"/>
        <v>3.1052467207995003</v>
      </c>
      <c r="J362" s="6"/>
    </row>
    <row r="363" spans="1:10" ht="12.75" customHeight="1">
      <c r="A363" s="129">
        <v>1090</v>
      </c>
      <c r="B363" s="132"/>
      <c r="C363" s="97">
        <v>416100</v>
      </c>
      <c r="D363" s="88" t="s">
        <v>50</v>
      </c>
      <c r="E363" s="154">
        <v>15000</v>
      </c>
      <c r="F363" s="152">
        <f t="shared" si="47"/>
        <v>0</v>
      </c>
      <c r="G363" s="154">
        <v>15000</v>
      </c>
      <c r="H363" s="148">
        <f t="shared" si="45"/>
        <v>100</v>
      </c>
      <c r="I363" s="417">
        <f t="shared" si="44"/>
        <v>0.046845721424109935</v>
      </c>
      <c r="J363" s="6"/>
    </row>
    <row r="364" spans="1:10" ht="12.75" customHeight="1">
      <c r="A364" s="129">
        <v>1090</v>
      </c>
      <c r="B364" s="132"/>
      <c r="C364" s="97">
        <v>416100</v>
      </c>
      <c r="D364" s="88" t="s">
        <v>51</v>
      </c>
      <c r="E364" s="154">
        <v>55000</v>
      </c>
      <c r="F364" s="152">
        <f t="shared" si="47"/>
        <v>0</v>
      </c>
      <c r="G364" s="154">
        <v>55000</v>
      </c>
      <c r="H364" s="148">
        <f t="shared" si="45"/>
        <v>100</v>
      </c>
      <c r="I364" s="417">
        <f t="shared" si="44"/>
        <v>0.1717676452217364</v>
      </c>
      <c r="J364" s="6"/>
    </row>
    <row r="365" spans="1:10" ht="26.25" customHeight="1">
      <c r="A365" s="129" t="s">
        <v>28</v>
      </c>
      <c r="B365" s="132"/>
      <c r="C365" s="97">
        <v>416100</v>
      </c>
      <c r="D365" s="88" t="s">
        <v>412</v>
      </c>
      <c r="E365" s="154">
        <v>443000</v>
      </c>
      <c r="F365" s="152">
        <f t="shared" si="47"/>
        <v>0</v>
      </c>
      <c r="G365" s="154">
        <v>443000</v>
      </c>
      <c r="H365" s="148">
        <f t="shared" si="45"/>
        <v>100</v>
      </c>
      <c r="I365" s="417">
        <f t="shared" si="44"/>
        <v>1.3835103060587133</v>
      </c>
      <c r="J365" s="6"/>
    </row>
    <row r="366" spans="1:10" ht="25.5">
      <c r="A366" s="129" t="s">
        <v>28</v>
      </c>
      <c r="B366" s="132"/>
      <c r="C366" s="97">
        <v>416100</v>
      </c>
      <c r="D366" s="88" t="s">
        <v>431</v>
      </c>
      <c r="E366" s="154">
        <v>19500</v>
      </c>
      <c r="F366" s="152">
        <f t="shared" si="47"/>
        <v>0</v>
      </c>
      <c r="G366" s="154">
        <v>19500</v>
      </c>
      <c r="H366" s="148">
        <f t="shared" si="45"/>
        <v>100</v>
      </c>
      <c r="I366" s="417">
        <f t="shared" si="44"/>
        <v>0.060899437851342914</v>
      </c>
      <c r="J366" s="6"/>
    </row>
    <row r="367" spans="1:10" ht="14.25" customHeight="1">
      <c r="A367" s="129" t="s">
        <v>28</v>
      </c>
      <c r="B367" s="132"/>
      <c r="C367" s="97">
        <v>416100</v>
      </c>
      <c r="D367" s="88" t="s">
        <v>446</v>
      </c>
      <c r="E367" s="154">
        <v>39000</v>
      </c>
      <c r="F367" s="152">
        <f t="shared" si="47"/>
        <v>0</v>
      </c>
      <c r="G367" s="154">
        <v>39000</v>
      </c>
      <c r="H367" s="148">
        <f t="shared" si="45"/>
        <v>100</v>
      </c>
      <c r="I367" s="417">
        <f t="shared" si="44"/>
        <v>0.12179887570268583</v>
      </c>
      <c r="J367" s="6"/>
    </row>
    <row r="368" spans="1:10" ht="12.75" customHeight="1">
      <c r="A368" s="129" t="s">
        <v>28</v>
      </c>
      <c r="B368" s="132"/>
      <c r="C368" s="66">
        <v>416300</v>
      </c>
      <c r="D368" s="132" t="s">
        <v>49</v>
      </c>
      <c r="E368" s="154">
        <v>100000</v>
      </c>
      <c r="F368" s="152">
        <f t="shared" si="47"/>
        <v>0</v>
      </c>
      <c r="G368" s="154">
        <v>100000</v>
      </c>
      <c r="H368" s="148">
        <f t="shared" si="45"/>
        <v>100</v>
      </c>
      <c r="I368" s="417">
        <f t="shared" si="44"/>
        <v>0.3123048094940662</v>
      </c>
      <c r="J368" s="6"/>
    </row>
    <row r="369" spans="1:10" ht="26.25" customHeight="1">
      <c r="A369" s="129" t="s">
        <v>28</v>
      </c>
      <c r="B369" s="132"/>
      <c r="C369" s="66">
        <v>416300</v>
      </c>
      <c r="D369" s="88" t="s">
        <v>447</v>
      </c>
      <c r="E369" s="154">
        <v>15000</v>
      </c>
      <c r="F369" s="152">
        <f t="shared" si="47"/>
        <v>0</v>
      </c>
      <c r="G369" s="154">
        <v>15000</v>
      </c>
      <c r="H369" s="148">
        <f t="shared" si="45"/>
        <v>100</v>
      </c>
      <c r="I369" s="417">
        <f t="shared" si="44"/>
        <v>0.046845721424109935</v>
      </c>
      <c r="J369" s="6"/>
    </row>
    <row r="370" spans="1:10" ht="12.75" customHeight="1">
      <c r="A370" s="129">
        <v>1090</v>
      </c>
      <c r="B370" s="132"/>
      <c r="C370" s="66">
        <v>416300</v>
      </c>
      <c r="D370" s="88" t="s">
        <v>102</v>
      </c>
      <c r="E370" s="196">
        <v>326000</v>
      </c>
      <c r="F370" s="152">
        <f t="shared" si="47"/>
        <v>21000</v>
      </c>
      <c r="G370" s="196">
        <v>347000</v>
      </c>
      <c r="H370" s="148">
        <f t="shared" si="45"/>
        <v>106.44171779141105</v>
      </c>
      <c r="I370" s="417">
        <f t="shared" si="44"/>
        <v>1.0836976889444099</v>
      </c>
      <c r="J370" s="6"/>
    </row>
    <row r="371" spans="1:10" ht="25.5" customHeight="1">
      <c r="A371" s="129" t="s">
        <v>28</v>
      </c>
      <c r="B371" s="132"/>
      <c r="C371" s="66">
        <v>418200</v>
      </c>
      <c r="D371" s="88" t="s">
        <v>474</v>
      </c>
      <c r="E371" s="154">
        <v>19000</v>
      </c>
      <c r="F371" s="152">
        <f t="shared" si="47"/>
        <v>0</v>
      </c>
      <c r="G371" s="154">
        <v>19000</v>
      </c>
      <c r="H371" s="148">
        <f t="shared" si="45"/>
        <v>100</v>
      </c>
      <c r="I371" s="417">
        <f t="shared" si="44"/>
        <v>0.059337913803872586</v>
      </c>
      <c r="J371" s="6"/>
    </row>
    <row r="372" spans="1:10" ht="12.75" customHeight="1">
      <c r="A372" s="129" t="s">
        <v>28</v>
      </c>
      <c r="B372" s="52"/>
      <c r="C372" s="97">
        <v>487400</v>
      </c>
      <c r="D372" s="93" t="s">
        <v>47</v>
      </c>
      <c r="E372" s="196">
        <v>115000</v>
      </c>
      <c r="F372" s="152">
        <f t="shared" si="47"/>
        <v>0</v>
      </c>
      <c r="G372" s="196">
        <v>115000</v>
      </c>
      <c r="H372" s="148">
        <f t="shared" si="45"/>
        <v>100</v>
      </c>
      <c r="I372" s="417">
        <f t="shared" si="44"/>
        <v>0.3591505309181761</v>
      </c>
      <c r="J372" s="6"/>
    </row>
    <row r="373" spans="1:10" ht="12.75" customHeight="1">
      <c r="A373" s="129" t="s">
        <v>28</v>
      </c>
      <c r="B373" s="132"/>
      <c r="C373" s="97">
        <v>487400</v>
      </c>
      <c r="D373" s="93" t="s">
        <v>192</v>
      </c>
      <c r="E373" s="148">
        <v>85000</v>
      </c>
      <c r="F373" s="152">
        <f t="shared" si="47"/>
        <v>0</v>
      </c>
      <c r="G373" s="148">
        <v>85000</v>
      </c>
      <c r="H373" s="148">
        <f t="shared" si="45"/>
        <v>100</v>
      </c>
      <c r="I373" s="417">
        <f t="shared" si="44"/>
        <v>0.2654590880699563</v>
      </c>
      <c r="J373" s="6"/>
    </row>
    <row r="374" spans="1:10" ht="12.75" customHeight="1">
      <c r="A374" s="129"/>
      <c r="B374" s="52">
        <v>419000</v>
      </c>
      <c r="C374" s="66"/>
      <c r="D374" s="143" t="s">
        <v>305</v>
      </c>
      <c r="E374" s="183">
        <f>SUM(E375)</f>
        <v>2500</v>
      </c>
      <c r="F374" s="183">
        <f>SUM(F375)</f>
        <v>0</v>
      </c>
      <c r="G374" s="183">
        <f>SUM(G375)</f>
        <v>2500</v>
      </c>
      <c r="H374" s="145">
        <f t="shared" si="45"/>
        <v>100</v>
      </c>
      <c r="I374" s="181">
        <f t="shared" si="44"/>
        <v>0.007807620237351655</v>
      </c>
      <c r="J374" s="6"/>
    </row>
    <row r="375" spans="1:10" ht="12.75" customHeight="1">
      <c r="A375" s="129" t="s">
        <v>28</v>
      </c>
      <c r="B375" s="132"/>
      <c r="C375" s="66">
        <v>419100</v>
      </c>
      <c r="D375" s="132" t="s">
        <v>305</v>
      </c>
      <c r="E375" s="152">
        <v>2500</v>
      </c>
      <c r="F375" s="152">
        <f>G375-E375</f>
        <v>0</v>
      </c>
      <c r="G375" s="152">
        <v>2500</v>
      </c>
      <c r="H375" s="148">
        <f t="shared" si="45"/>
        <v>100</v>
      </c>
      <c r="I375" s="417">
        <f t="shared" si="44"/>
        <v>0.007807620237351655</v>
      </c>
      <c r="J375" s="6"/>
    </row>
    <row r="376" spans="1:10" ht="14.25" customHeight="1">
      <c r="A376" s="129"/>
      <c r="B376" s="52">
        <v>511000</v>
      </c>
      <c r="C376" s="66"/>
      <c r="D376" s="143" t="s">
        <v>137</v>
      </c>
      <c r="E376" s="183">
        <f>SUM(E377:E378)</f>
        <v>16500</v>
      </c>
      <c r="F376" s="183">
        <f>SUM(F377:F378)</f>
        <v>0</v>
      </c>
      <c r="G376" s="183">
        <f>SUM(G377:G378)</f>
        <v>16500</v>
      </c>
      <c r="H376" s="145">
        <f t="shared" si="45"/>
        <v>100</v>
      </c>
      <c r="I376" s="181">
        <f t="shared" si="44"/>
        <v>0.05153029356652092</v>
      </c>
      <c r="J376" s="6"/>
    </row>
    <row r="377" spans="1:10" ht="12.75" customHeight="1">
      <c r="A377" s="129">
        <v>1090</v>
      </c>
      <c r="B377" s="132"/>
      <c r="C377" s="66">
        <v>511300</v>
      </c>
      <c r="D377" s="132" t="s">
        <v>2</v>
      </c>
      <c r="E377" s="152">
        <v>1500</v>
      </c>
      <c r="F377" s="152">
        <f>G377-E377</f>
        <v>0</v>
      </c>
      <c r="G377" s="152">
        <v>1500</v>
      </c>
      <c r="H377" s="148">
        <f t="shared" si="45"/>
        <v>100</v>
      </c>
      <c r="I377" s="417">
        <f t="shared" si="44"/>
        <v>0.004684572142410993</v>
      </c>
      <c r="J377" s="6"/>
    </row>
    <row r="378" spans="1:10" ht="26.25" customHeight="1">
      <c r="A378" s="129">
        <v>1090</v>
      </c>
      <c r="B378" s="132"/>
      <c r="C378" s="66">
        <v>511300</v>
      </c>
      <c r="D378" s="88" t="s">
        <v>672</v>
      </c>
      <c r="E378" s="152">
        <v>15000</v>
      </c>
      <c r="F378" s="152">
        <f>G378-E378</f>
        <v>0</v>
      </c>
      <c r="G378" s="152">
        <v>15000</v>
      </c>
      <c r="H378" s="148">
        <f t="shared" si="45"/>
        <v>100</v>
      </c>
      <c r="I378" s="417">
        <f t="shared" si="44"/>
        <v>0.046845721424109935</v>
      </c>
      <c r="J378" s="6"/>
    </row>
    <row r="379" spans="1:10" ht="24.75" customHeight="1">
      <c r="A379" s="136"/>
      <c r="B379" s="52">
        <v>516000</v>
      </c>
      <c r="C379" s="132"/>
      <c r="D379" s="143" t="s">
        <v>292</v>
      </c>
      <c r="E379" s="149">
        <f>SUM(E380)</f>
        <v>1000</v>
      </c>
      <c r="F379" s="149">
        <f>SUM(F380)</f>
        <v>-50</v>
      </c>
      <c r="G379" s="149">
        <f>SUM(G380)</f>
        <v>950</v>
      </c>
      <c r="H379" s="145">
        <f t="shared" si="45"/>
        <v>95</v>
      </c>
      <c r="I379" s="181">
        <f t="shared" si="44"/>
        <v>0.002966895690193629</v>
      </c>
      <c r="J379" s="6"/>
    </row>
    <row r="380" spans="1:10" ht="12.75">
      <c r="A380" s="136" t="s">
        <v>28</v>
      </c>
      <c r="B380" s="132"/>
      <c r="C380" s="132">
        <v>516100</v>
      </c>
      <c r="D380" s="88" t="s">
        <v>281</v>
      </c>
      <c r="E380" s="152">
        <v>1000</v>
      </c>
      <c r="F380" s="152">
        <f>G380-E380</f>
        <v>-50</v>
      </c>
      <c r="G380" s="152">
        <v>950</v>
      </c>
      <c r="H380" s="148">
        <f t="shared" si="45"/>
        <v>95</v>
      </c>
      <c r="I380" s="417">
        <f t="shared" si="44"/>
        <v>0.002966895690193629</v>
      </c>
      <c r="J380" s="6"/>
    </row>
    <row r="381" spans="1:10" ht="15.75" customHeight="1">
      <c r="A381" s="136"/>
      <c r="B381" s="52">
        <v>638000</v>
      </c>
      <c r="C381" s="66"/>
      <c r="D381" s="143" t="s">
        <v>319</v>
      </c>
      <c r="E381" s="149">
        <f>SUM(E382)</f>
        <v>24000</v>
      </c>
      <c r="F381" s="149">
        <f>SUM(F382)</f>
        <v>-8000</v>
      </c>
      <c r="G381" s="149">
        <f>SUM(G382)</f>
        <v>16000</v>
      </c>
      <c r="H381" s="145">
        <f t="shared" si="45"/>
        <v>66.66666666666666</v>
      </c>
      <c r="I381" s="181">
        <f t="shared" si="44"/>
        <v>0.04996876951905059</v>
      </c>
      <c r="J381" s="6"/>
    </row>
    <row r="382" spans="1:10" ht="25.5" customHeight="1">
      <c r="A382" s="129"/>
      <c r="B382" s="132"/>
      <c r="C382" s="66">
        <v>638100</v>
      </c>
      <c r="D382" s="88" t="s">
        <v>320</v>
      </c>
      <c r="E382" s="154">
        <v>24000</v>
      </c>
      <c r="F382" s="154">
        <f>G382-E382</f>
        <v>-8000</v>
      </c>
      <c r="G382" s="154">
        <v>16000</v>
      </c>
      <c r="H382" s="148">
        <f t="shared" si="45"/>
        <v>66.66666666666666</v>
      </c>
      <c r="I382" s="417">
        <f t="shared" si="44"/>
        <v>0.04996876951905059</v>
      </c>
      <c r="J382" s="6"/>
    </row>
    <row r="383" spans="1:10" ht="23.25" customHeight="1">
      <c r="A383" s="507"/>
      <c r="B383" s="508"/>
      <c r="C383" s="501" t="s">
        <v>86</v>
      </c>
      <c r="D383" s="505"/>
      <c r="E383" s="167">
        <f>E340+E345+E358+E374+E376+E379+E381</f>
        <v>3944500</v>
      </c>
      <c r="F383" s="167">
        <f>F340+F345+F358+F374+F376+F379+F381</f>
        <v>69650.5</v>
      </c>
      <c r="G383" s="167">
        <f>G340+G345+G358+G374+G376+G379+G381</f>
        <v>4014150.5</v>
      </c>
      <c r="H383" s="382">
        <f t="shared" si="45"/>
        <v>101.76576245404993</v>
      </c>
      <c r="I383" s="358">
        <f t="shared" si="44"/>
        <v>12.536385071830106</v>
      </c>
      <c r="J383" s="6"/>
    </row>
    <row r="384" spans="1:10" ht="12.75">
      <c r="A384" s="169"/>
      <c r="B384" s="170"/>
      <c r="C384" s="503" t="s">
        <v>569</v>
      </c>
      <c r="D384" s="504"/>
      <c r="E384" s="171"/>
      <c r="F384" s="171"/>
      <c r="G384" s="171"/>
      <c r="H384" s="171"/>
      <c r="I384" s="235"/>
      <c r="J384" s="6"/>
    </row>
    <row r="385" spans="1:10" ht="12.75">
      <c r="A385" s="173"/>
      <c r="B385" s="174"/>
      <c r="C385" s="504"/>
      <c r="D385" s="504"/>
      <c r="E385" s="175"/>
      <c r="F385" s="175"/>
      <c r="G385" s="175"/>
      <c r="H385" s="175"/>
      <c r="I385" s="236"/>
      <c r="J385" s="6"/>
    </row>
    <row r="386" spans="1:10" ht="15.75" customHeight="1">
      <c r="A386" s="177"/>
      <c r="B386" s="178"/>
      <c r="C386" s="504"/>
      <c r="D386" s="504"/>
      <c r="E386" s="179"/>
      <c r="F386" s="179"/>
      <c r="G386" s="179"/>
      <c r="H386" s="179"/>
      <c r="I386" s="237"/>
      <c r="J386" s="6"/>
    </row>
    <row r="387" spans="1:10" ht="12.75">
      <c r="A387" s="129"/>
      <c r="B387" s="52">
        <v>411000</v>
      </c>
      <c r="C387" s="132"/>
      <c r="D387" s="71" t="s">
        <v>321</v>
      </c>
      <c r="E387" s="144">
        <f>SUM(E388:E391)</f>
        <v>703500</v>
      </c>
      <c r="F387" s="144">
        <f>SUM(F388:F391)</f>
        <v>-8000</v>
      </c>
      <c r="G387" s="144">
        <f>SUM(G388:G391)</f>
        <v>695500</v>
      </c>
      <c r="H387" s="145">
        <f>G387/E387*100</f>
        <v>98.86282871357498</v>
      </c>
      <c r="I387" s="181">
        <f aca="true" t="shared" si="48" ref="I387:I410">G387/$G$611*100</f>
        <v>2.1720799500312307</v>
      </c>
      <c r="J387" s="6"/>
    </row>
    <row r="388" spans="1:10" ht="12.75">
      <c r="A388" s="129" t="s">
        <v>53</v>
      </c>
      <c r="B388" s="132"/>
      <c r="C388" s="66">
        <v>411100</v>
      </c>
      <c r="D388" s="72" t="s">
        <v>317</v>
      </c>
      <c r="E388" s="196">
        <v>517000</v>
      </c>
      <c r="F388" s="196">
        <f>G388-E388</f>
        <v>-4000</v>
      </c>
      <c r="G388" s="196">
        <v>513000</v>
      </c>
      <c r="H388" s="148">
        <f aca="true" t="shared" si="49" ref="H388:H410">G388/E388*100</f>
        <v>99.22630560928434</v>
      </c>
      <c r="I388" s="417">
        <f t="shared" si="48"/>
        <v>1.6021236727045596</v>
      </c>
      <c r="J388" s="6"/>
    </row>
    <row r="389" spans="1:10" ht="25.5" customHeight="1">
      <c r="A389" s="129" t="s">
        <v>53</v>
      </c>
      <c r="B389" s="132"/>
      <c r="C389" s="66">
        <v>411200</v>
      </c>
      <c r="D389" s="72" t="s">
        <v>322</v>
      </c>
      <c r="E389" s="154">
        <v>162000</v>
      </c>
      <c r="F389" s="196">
        <f>G389-E389</f>
        <v>-5000</v>
      </c>
      <c r="G389" s="154">
        <v>157000</v>
      </c>
      <c r="H389" s="148">
        <f t="shared" si="49"/>
        <v>96.91358024691358</v>
      </c>
      <c r="I389" s="417">
        <f t="shared" si="48"/>
        <v>0.49031855090568394</v>
      </c>
      <c r="J389" s="6"/>
    </row>
    <row r="390" spans="1:10" ht="25.5">
      <c r="A390" s="129" t="s">
        <v>53</v>
      </c>
      <c r="B390" s="132"/>
      <c r="C390" s="66">
        <v>411300</v>
      </c>
      <c r="D390" s="72" t="s">
        <v>404</v>
      </c>
      <c r="E390" s="152">
        <v>15500</v>
      </c>
      <c r="F390" s="196">
        <f>G390-E390</f>
        <v>2000</v>
      </c>
      <c r="G390" s="152">
        <v>17500</v>
      </c>
      <c r="H390" s="148">
        <f t="shared" si="49"/>
        <v>112.90322580645163</v>
      </c>
      <c r="I390" s="417">
        <f t="shared" si="48"/>
        <v>0.05465334166146158</v>
      </c>
      <c r="J390" s="6"/>
    </row>
    <row r="391" spans="1:10" ht="12.75">
      <c r="A391" s="129" t="s">
        <v>53</v>
      </c>
      <c r="B391" s="132"/>
      <c r="C391" s="66">
        <v>411400</v>
      </c>
      <c r="D391" s="73" t="s">
        <v>318</v>
      </c>
      <c r="E391" s="152">
        <v>9000</v>
      </c>
      <c r="F391" s="196">
        <f>G391-E391</f>
        <v>-1000</v>
      </c>
      <c r="G391" s="152">
        <v>8000</v>
      </c>
      <c r="H391" s="148">
        <f t="shared" si="49"/>
        <v>88.88888888888889</v>
      </c>
      <c r="I391" s="417">
        <f t="shared" si="48"/>
        <v>0.024984384759525295</v>
      </c>
      <c r="J391" s="6"/>
    </row>
    <row r="392" spans="1:10" ht="12.75">
      <c r="A392" s="129"/>
      <c r="B392" s="52">
        <v>412000</v>
      </c>
      <c r="C392" s="66"/>
      <c r="D392" s="143" t="s">
        <v>119</v>
      </c>
      <c r="E392" s="183">
        <f>SUM(E393:E401)</f>
        <v>136352.89</v>
      </c>
      <c r="F392" s="183">
        <f>SUM(F393:F401)</f>
        <v>588.8999999999996</v>
      </c>
      <c r="G392" s="183">
        <f>SUM(G393:G401)</f>
        <v>136941.79</v>
      </c>
      <c r="H392" s="145">
        <f t="shared" si="49"/>
        <v>100.43189403612934</v>
      </c>
      <c r="I392" s="181">
        <f t="shared" si="48"/>
        <v>0.4276757963772642</v>
      </c>
      <c r="J392" s="6"/>
    </row>
    <row r="393" spans="1:10" ht="25.5">
      <c r="A393" s="129" t="s">
        <v>53</v>
      </c>
      <c r="B393" s="52"/>
      <c r="C393" s="66">
        <v>412200</v>
      </c>
      <c r="D393" s="88" t="s">
        <v>121</v>
      </c>
      <c r="E393" s="152">
        <v>35000</v>
      </c>
      <c r="F393" s="152">
        <f>G393-E393</f>
        <v>0</v>
      </c>
      <c r="G393" s="152">
        <v>35000</v>
      </c>
      <c r="H393" s="148">
        <f t="shared" si="49"/>
        <v>100</v>
      </c>
      <c r="I393" s="417">
        <f t="shared" si="48"/>
        <v>0.10930668332292316</v>
      </c>
      <c r="J393" s="6"/>
    </row>
    <row r="394" spans="1:10" ht="12.75">
      <c r="A394" s="129" t="s">
        <v>53</v>
      </c>
      <c r="B394" s="52"/>
      <c r="C394" s="66">
        <v>412300</v>
      </c>
      <c r="D394" s="132" t="s">
        <v>122</v>
      </c>
      <c r="E394" s="152">
        <v>15100</v>
      </c>
      <c r="F394" s="152">
        <f aca="true" t="shared" si="50" ref="F394:F401">G394-E394</f>
        <v>-1600</v>
      </c>
      <c r="G394" s="152">
        <v>13500</v>
      </c>
      <c r="H394" s="148">
        <f t="shared" si="49"/>
        <v>89.40397350993378</v>
      </c>
      <c r="I394" s="417">
        <f t="shared" si="48"/>
        <v>0.04216114928169894</v>
      </c>
      <c r="J394" s="6"/>
    </row>
    <row r="395" spans="1:10" ht="12.75">
      <c r="A395" s="129" t="s">
        <v>53</v>
      </c>
      <c r="B395" s="52"/>
      <c r="C395" s="66">
        <v>412400</v>
      </c>
      <c r="D395" s="88" t="s">
        <v>123</v>
      </c>
      <c r="E395" s="154">
        <v>55000</v>
      </c>
      <c r="F395" s="152">
        <f t="shared" si="50"/>
        <v>5000</v>
      </c>
      <c r="G395" s="154">
        <v>60000</v>
      </c>
      <c r="H395" s="148">
        <f t="shared" si="49"/>
        <v>109.09090909090908</v>
      </c>
      <c r="I395" s="417">
        <f t="shared" si="48"/>
        <v>0.18738288569643974</v>
      </c>
      <c r="J395" s="6"/>
    </row>
    <row r="396" spans="1:10" ht="12.75">
      <c r="A396" s="129" t="s">
        <v>53</v>
      </c>
      <c r="B396" s="52"/>
      <c r="C396" s="66">
        <v>412500</v>
      </c>
      <c r="D396" s="132" t="s">
        <v>124</v>
      </c>
      <c r="E396" s="154">
        <v>9100</v>
      </c>
      <c r="F396" s="152">
        <f t="shared" si="50"/>
        <v>-1228</v>
      </c>
      <c r="G396" s="154">
        <v>7872</v>
      </c>
      <c r="H396" s="148">
        <f t="shared" si="49"/>
        <v>86.50549450549451</v>
      </c>
      <c r="I396" s="417">
        <f t="shared" si="48"/>
        <v>0.024584634603372894</v>
      </c>
      <c r="J396" s="6"/>
    </row>
    <row r="397" spans="1:10" ht="12.75">
      <c r="A397" s="129" t="s">
        <v>53</v>
      </c>
      <c r="B397" s="52"/>
      <c r="C397" s="66">
        <v>412600</v>
      </c>
      <c r="D397" s="132" t="s">
        <v>125</v>
      </c>
      <c r="E397" s="154">
        <v>1000</v>
      </c>
      <c r="F397" s="152">
        <f t="shared" si="50"/>
        <v>128</v>
      </c>
      <c r="G397" s="154">
        <v>1128</v>
      </c>
      <c r="H397" s="148">
        <f t="shared" si="49"/>
        <v>112.79999999999998</v>
      </c>
      <c r="I397" s="417">
        <f t="shared" si="48"/>
        <v>0.0035227982510930666</v>
      </c>
      <c r="J397" s="6"/>
    </row>
    <row r="398" spans="1:10" ht="12.75">
      <c r="A398" s="129" t="s">
        <v>53</v>
      </c>
      <c r="B398" s="52"/>
      <c r="C398" s="132">
        <v>412700</v>
      </c>
      <c r="D398" s="132" t="s">
        <v>126</v>
      </c>
      <c r="E398" s="154">
        <v>2750</v>
      </c>
      <c r="F398" s="152">
        <f t="shared" si="50"/>
        <v>-1350</v>
      </c>
      <c r="G398" s="154">
        <v>1400</v>
      </c>
      <c r="H398" s="148">
        <f t="shared" si="49"/>
        <v>50.90909090909091</v>
      </c>
      <c r="I398" s="417">
        <f t="shared" si="48"/>
        <v>0.004372267332916927</v>
      </c>
      <c r="J398" s="6"/>
    </row>
    <row r="399" spans="1:10" ht="12.75">
      <c r="A399" s="129" t="s">
        <v>53</v>
      </c>
      <c r="B399" s="52"/>
      <c r="C399" s="132">
        <v>412900</v>
      </c>
      <c r="D399" s="132" t="s">
        <v>128</v>
      </c>
      <c r="E399" s="154">
        <v>11350</v>
      </c>
      <c r="F399" s="152">
        <f t="shared" si="50"/>
        <v>0</v>
      </c>
      <c r="G399" s="154">
        <v>11350</v>
      </c>
      <c r="H399" s="148">
        <f t="shared" si="49"/>
        <v>100</v>
      </c>
      <c r="I399" s="417">
        <f t="shared" si="48"/>
        <v>0.035446595877576516</v>
      </c>
      <c r="J399" s="6"/>
    </row>
    <row r="400" spans="1:10" ht="25.5">
      <c r="A400" s="129" t="s">
        <v>53</v>
      </c>
      <c r="B400" s="52"/>
      <c r="C400" s="132">
        <v>412900</v>
      </c>
      <c r="D400" s="88" t="s">
        <v>345</v>
      </c>
      <c r="E400" s="154">
        <v>4910</v>
      </c>
      <c r="F400" s="152">
        <f t="shared" si="50"/>
        <v>-361.10000000000036</v>
      </c>
      <c r="G400" s="154">
        <v>4548.9</v>
      </c>
      <c r="H400" s="148">
        <f t="shared" si="49"/>
        <v>92.64562118126271</v>
      </c>
      <c r="I400" s="417">
        <f t="shared" si="48"/>
        <v>0.014206433479075575</v>
      </c>
      <c r="J400" s="6"/>
    </row>
    <row r="401" spans="1:10" ht="25.5">
      <c r="A401" s="129" t="s">
        <v>53</v>
      </c>
      <c r="B401" s="52"/>
      <c r="C401" s="132">
        <v>412900</v>
      </c>
      <c r="D401" s="88" t="s">
        <v>654</v>
      </c>
      <c r="E401" s="154">
        <v>2142.89</v>
      </c>
      <c r="F401" s="152">
        <f t="shared" si="50"/>
        <v>0</v>
      </c>
      <c r="G401" s="154">
        <v>2142.89</v>
      </c>
      <c r="H401" s="148">
        <f t="shared" si="49"/>
        <v>100</v>
      </c>
      <c r="I401" s="417">
        <f t="shared" si="48"/>
        <v>0.006692348532167394</v>
      </c>
      <c r="J401" s="6"/>
    </row>
    <row r="402" spans="1:10" ht="12.75">
      <c r="A402" s="129"/>
      <c r="B402" s="52">
        <v>418000</v>
      </c>
      <c r="C402" s="132"/>
      <c r="D402" s="429" t="s">
        <v>646</v>
      </c>
      <c r="E402" s="405">
        <f>SUM(E403)</f>
        <v>6650</v>
      </c>
      <c r="F402" s="405">
        <f>SUM(F403)</f>
        <v>-1000</v>
      </c>
      <c r="G402" s="405">
        <f>SUM(G403)</f>
        <v>5650</v>
      </c>
      <c r="H402" s="238">
        <f t="shared" si="49"/>
        <v>84.9624060150376</v>
      </c>
      <c r="I402" s="430">
        <f t="shared" si="48"/>
        <v>0.01764522173641474</v>
      </c>
      <c r="J402" s="6"/>
    </row>
    <row r="403" spans="1:10" ht="25.5">
      <c r="A403" s="129" t="s">
        <v>53</v>
      </c>
      <c r="B403" s="431"/>
      <c r="C403" s="132">
        <v>418400</v>
      </c>
      <c r="D403" s="88" t="s">
        <v>647</v>
      </c>
      <c r="E403" s="154">
        <v>6650</v>
      </c>
      <c r="F403" s="152">
        <f>G403-E403</f>
        <v>-1000</v>
      </c>
      <c r="G403" s="154">
        <v>5650</v>
      </c>
      <c r="H403" s="148">
        <f t="shared" si="49"/>
        <v>84.9624060150376</v>
      </c>
      <c r="I403" s="417">
        <f t="shared" si="48"/>
        <v>0.01764522173641474</v>
      </c>
      <c r="J403" s="6"/>
    </row>
    <row r="404" spans="1:10" ht="12.75">
      <c r="A404" s="129"/>
      <c r="B404" s="52">
        <v>511000</v>
      </c>
      <c r="C404" s="66"/>
      <c r="D404" s="143" t="s">
        <v>137</v>
      </c>
      <c r="E404" s="183">
        <f>SUM(E405:E405)</f>
        <v>7000</v>
      </c>
      <c r="F404" s="183">
        <f>SUM(F405:F405)</f>
        <v>0</v>
      </c>
      <c r="G404" s="183">
        <f>SUM(G405:G405)</f>
        <v>7000</v>
      </c>
      <c r="H404" s="145">
        <f t="shared" si="49"/>
        <v>100</v>
      </c>
      <c r="I404" s="181">
        <f t="shared" si="48"/>
        <v>0.021861336664584636</v>
      </c>
      <c r="J404" s="6"/>
    </row>
    <row r="405" spans="1:10" ht="12.75">
      <c r="A405" s="129" t="s">
        <v>53</v>
      </c>
      <c r="B405" s="52"/>
      <c r="C405" s="66">
        <v>511300</v>
      </c>
      <c r="D405" s="132" t="s">
        <v>2</v>
      </c>
      <c r="E405" s="154">
        <v>7000</v>
      </c>
      <c r="F405" s="152">
        <f>G405-E405</f>
        <v>0</v>
      </c>
      <c r="G405" s="154">
        <v>7000</v>
      </c>
      <c r="H405" s="148">
        <f t="shared" si="49"/>
        <v>100</v>
      </c>
      <c r="I405" s="417">
        <f t="shared" si="48"/>
        <v>0.021861336664584636</v>
      </c>
      <c r="J405" s="6"/>
    </row>
    <row r="406" spans="1:10" ht="12.75">
      <c r="A406" s="129"/>
      <c r="B406" s="52">
        <v>516000</v>
      </c>
      <c r="C406" s="66"/>
      <c r="D406" s="143" t="s">
        <v>292</v>
      </c>
      <c r="E406" s="183">
        <f>SUM(E407:E407)</f>
        <v>6000</v>
      </c>
      <c r="F406" s="183">
        <f>SUM(F407:F407)</f>
        <v>0</v>
      </c>
      <c r="G406" s="183">
        <f>SUM(G407:G407)</f>
        <v>6000</v>
      </c>
      <c r="H406" s="145">
        <f t="shared" si="49"/>
        <v>100</v>
      </c>
      <c r="I406" s="181">
        <f t="shared" si="48"/>
        <v>0.018738288569643973</v>
      </c>
      <c r="J406" s="6"/>
    </row>
    <row r="407" spans="1:10" ht="12.75">
      <c r="A407" s="129" t="s">
        <v>53</v>
      </c>
      <c r="B407" s="132"/>
      <c r="C407" s="66">
        <v>516100</v>
      </c>
      <c r="D407" s="132" t="s">
        <v>282</v>
      </c>
      <c r="E407" s="154">
        <v>6000</v>
      </c>
      <c r="F407" s="154">
        <f>G407-E407</f>
        <v>0</v>
      </c>
      <c r="G407" s="154">
        <v>6000</v>
      </c>
      <c r="H407" s="148">
        <f t="shared" si="49"/>
        <v>100</v>
      </c>
      <c r="I407" s="417">
        <f t="shared" si="48"/>
        <v>0.018738288569643973</v>
      </c>
      <c r="J407" s="6"/>
    </row>
    <row r="408" spans="1:10" ht="12.75">
      <c r="A408" s="129"/>
      <c r="B408" s="52">
        <v>638000</v>
      </c>
      <c r="C408" s="66"/>
      <c r="D408" s="143" t="s">
        <v>319</v>
      </c>
      <c r="E408" s="149">
        <f>SUM(E409)</f>
        <v>45500</v>
      </c>
      <c r="F408" s="149">
        <f>SUM(F409)</f>
        <v>6000</v>
      </c>
      <c r="G408" s="149">
        <f>SUM(G409)</f>
        <v>51500</v>
      </c>
      <c r="H408" s="145">
        <f t="shared" si="49"/>
        <v>113.18681318681318</v>
      </c>
      <c r="I408" s="181">
        <f t="shared" si="48"/>
        <v>0.1608369768894441</v>
      </c>
      <c r="J408" s="6"/>
    </row>
    <row r="409" spans="1:10" ht="37.5" customHeight="1">
      <c r="A409" s="129"/>
      <c r="B409" s="132"/>
      <c r="C409" s="66">
        <v>638100</v>
      </c>
      <c r="D409" s="377" t="s">
        <v>320</v>
      </c>
      <c r="E409" s="248">
        <v>45500</v>
      </c>
      <c r="F409" s="248">
        <f>G409-E409</f>
        <v>6000</v>
      </c>
      <c r="G409" s="248">
        <v>51500</v>
      </c>
      <c r="H409" s="148">
        <f t="shared" si="49"/>
        <v>113.18681318681318</v>
      </c>
      <c r="I409" s="417">
        <f t="shared" si="48"/>
        <v>0.1608369768894441</v>
      </c>
      <c r="J409" s="6"/>
    </row>
    <row r="410" spans="1:10" ht="25.5" customHeight="1">
      <c r="A410" s="507"/>
      <c r="B410" s="508"/>
      <c r="C410" s="501" t="s">
        <v>90</v>
      </c>
      <c r="D410" s="505"/>
      <c r="E410" s="167">
        <f>E387+E392+E402+E404+E406+E408</f>
        <v>905002.89</v>
      </c>
      <c r="F410" s="167">
        <f>F387+F392+F402+F404+F406+F408</f>
        <v>-2411.1000000000004</v>
      </c>
      <c r="G410" s="167">
        <f>G387+G392+G402+G404+G406+G408</f>
        <v>902591.79</v>
      </c>
      <c r="H410" s="382">
        <f t="shared" si="49"/>
        <v>99.73358096127185</v>
      </c>
      <c r="I410" s="358">
        <f t="shared" si="48"/>
        <v>2.818837570268582</v>
      </c>
      <c r="J410" s="6"/>
    </row>
    <row r="411" spans="1:10" ht="39.75" customHeight="1">
      <c r="A411" s="249"/>
      <c r="B411" s="228"/>
      <c r="C411" s="502" t="s">
        <v>607</v>
      </c>
      <c r="D411" s="502"/>
      <c r="E411" s="344"/>
      <c r="F411" s="344"/>
      <c r="G411" s="344"/>
      <c r="H411" s="345"/>
      <c r="I411" s="348"/>
      <c r="J411" s="6"/>
    </row>
    <row r="412" spans="1:10" ht="12.75">
      <c r="A412" s="249"/>
      <c r="B412" s="349" t="s">
        <v>352</v>
      </c>
      <c r="C412" s="444"/>
      <c r="D412" s="368" t="s">
        <v>321</v>
      </c>
      <c r="E412" s="354">
        <f>SUM(E413:E418)</f>
        <v>3687600</v>
      </c>
      <c r="F412" s="354">
        <f>SUM(F413:F418)</f>
        <v>543800</v>
      </c>
      <c r="G412" s="354">
        <f>SUM(G413:G418)</f>
        <v>4231400</v>
      </c>
      <c r="H412" s="354">
        <f>G412/E412*100</f>
        <v>114.74671873305131</v>
      </c>
      <c r="I412" s="355">
        <f aca="true" t="shared" si="51" ref="I412:I443">G412/$G$611*100</f>
        <v>13.214865708931917</v>
      </c>
      <c r="J412" s="369"/>
    </row>
    <row r="413" spans="1:10" ht="12.75">
      <c r="A413" s="249" t="s">
        <v>633</v>
      </c>
      <c r="B413" s="228"/>
      <c r="C413" s="370">
        <v>411100</v>
      </c>
      <c r="D413" s="371" t="s">
        <v>317</v>
      </c>
      <c r="E413" s="359">
        <v>3504700</v>
      </c>
      <c r="F413" s="359">
        <f aca="true" t="shared" si="52" ref="F413:F418">G413-E413</f>
        <v>558000</v>
      </c>
      <c r="G413" s="359">
        <v>4062700</v>
      </c>
      <c r="H413" s="346">
        <f>G413/E413*100</f>
        <v>115.92147687391217</v>
      </c>
      <c r="I413" s="347">
        <f t="shared" si="51"/>
        <v>12.688007495315428</v>
      </c>
      <c r="J413" s="369"/>
    </row>
    <row r="414" spans="1:10" ht="12.75">
      <c r="A414" s="249" t="s">
        <v>633</v>
      </c>
      <c r="B414" s="228"/>
      <c r="C414" s="370">
        <v>411200</v>
      </c>
      <c r="D414" s="371" t="s">
        <v>494</v>
      </c>
      <c r="E414" s="359">
        <v>70000</v>
      </c>
      <c r="F414" s="359">
        <f t="shared" si="52"/>
        <v>11200</v>
      </c>
      <c r="G414" s="359">
        <v>81200</v>
      </c>
      <c r="H414" s="346">
        <f aca="true" t="shared" si="53" ref="H414:H471">G414/E414*100</f>
        <v>115.99999999999999</v>
      </c>
      <c r="I414" s="347">
        <f t="shared" si="51"/>
        <v>0.25359150530918173</v>
      </c>
      <c r="J414" s="369"/>
    </row>
    <row r="415" spans="1:10" ht="12.75">
      <c r="A415" s="249" t="s">
        <v>633</v>
      </c>
      <c r="B415" s="228"/>
      <c r="C415" s="370">
        <v>411200</v>
      </c>
      <c r="D415" s="371" t="s">
        <v>495</v>
      </c>
      <c r="E415" s="359">
        <v>37500</v>
      </c>
      <c r="F415" s="359">
        <f t="shared" si="52"/>
        <v>-9400</v>
      </c>
      <c r="G415" s="359">
        <v>28100</v>
      </c>
      <c r="H415" s="346">
        <f t="shared" si="53"/>
        <v>74.93333333333332</v>
      </c>
      <c r="I415" s="347">
        <f t="shared" si="51"/>
        <v>0.0877576514678326</v>
      </c>
      <c r="J415" s="369"/>
    </row>
    <row r="416" spans="1:10" ht="12.75">
      <c r="A416" s="249" t="s">
        <v>633</v>
      </c>
      <c r="B416" s="228"/>
      <c r="C416" s="370">
        <v>411200</v>
      </c>
      <c r="D416" s="371" t="s">
        <v>334</v>
      </c>
      <c r="E416" s="122">
        <v>1900</v>
      </c>
      <c r="F416" s="359">
        <f t="shared" si="52"/>
        <v>300</v>
      </c>
      <c r="G416" s="122">
        <v>2200</v>
      </c>
      <c r="H416" s="346">
        <f t="shared" si="53"/>
        <v>115.78947368421053</v>
      </c>
      <c r="I416" s="347">
        <f t="shared" si="51"/>
        <v>0.006870705808869457</v>
      </c>
      <c r="J416" s="369"/>
    </row>
    <row r="417" spans="1:10" ht="25.5">
      <c r="A417" s="249" t="s">
        <v>633</v>
      </c>
      <c r="B417" s="228"/>
      <c r="C417" s="370">
        <v>411300</v>
      </c>
      <c r="D417" s="372" t="s">
        <v>537</v>
      </c>
      <c r="E417" s="359">
        <v>42400</v>
      </c>
      <c r="F417" s="359">
        <f t="shared" si="52"/>
        <v>-25500</v>
      </c>
      <c r="G417" s="359">
        <v>16900</v>
      </c>
      <c r="H417" s="346">
        <f t="shared" si="53"/>
        <v>39.85849056603774</v>
      </c>
      <c r="I417" s="347">
        <f t="shared" si="51"/>
        <v>0.05277951280449719</v>
      </c>
      <c r="J417" s="369"/>
    </row>
    <row r="418" spans="1:10" ht="12.75">
      <c r="A418" s="249" t="s">
        <v>633</v>
      </c>
      <c r="B418" s="228"/>
      <c r="C418" s="370">
        <v>411400</v>
      </c>
      <c r="D418" s="371" t="s">
        <v>318</v>
      </c>
      <c r="E418" s="359">
        <v>31100</v>
      </c>
      <c r="F418" s="359">
        <f t="shared" si="52"/>
        <v>9200</v>
      </c>
      <c r="G418" s="359">
        <v>40300</v>
      </c>
      <c r="H418" s="346">
        <f t="shared" si="53"/>
        <v>129.58199356913184</v>
      </c>
      <c r="I418" s="347">
        <f t="shared" si="51"/>
        <v>0.1258588382261087</v>
      </c>
      <c r="J418" s="369"/>
    </row>
    <row r="419" spans="1:10" ht="12.75">
      <c r="A419" s="249"/>
      <c r="B419" s="349" t="s">
        <v>353</v>
      </c>
      <c r="C419" s="350"/>
      <c r="D419" s="373" t="s">
        <v>119</v>
      </c>
      <c r="E419" s="419">
        <f>SUM(E420:E441)</f>
        <v>768600</v>
      </c>
      <c r="F419" s="419">
        <f>SUM(F420:F441)</f>
        <v>424848.77</v>
      </c>
      <c r="G419" s="419">
        <f>SUM(G420:G441)</f>
        <v>1193448.77</v>
      </c>
      <c r="H419" s="354">
        <f t="shared" si="53"/>
        <v>155.2756661462399</v>
      </c>
      <c r="I419" s="355">
        <f t="shared" si="51"/>
        <v>3.7271979075577764</v>
      </c>
      <c r="J419" s="369"/>
    </row>
    <row r="420" spans="1:10" ht="12.75">
      <c r="A420" s="249" t="s">
        <v>633</v>
      </c>
      <c r="B420" s="228"/>
      <c r="C420" s="370">
        <v>412100</v>
      </c>
      <c r="D420" s="371" t="s">
        <v>496</v>
      </c>
      <c r="E420" s="359">
        <v>1960</v>
      </c>
      <c r="F420" s="359">
        <f>G420-E420</f>
        <v>0</v>
      </c>
      <c r="G420" s="359">
        <v>1960</v>
      </c>
      <c r="H420" s="346">
        <f t="shared" si="53"/>
        <v>100</v>
      </c>
      <c r="I420" s="347">
        <f t="shared" si="51"/>
        <v>0.0061211742660836985</v>
      </c>
      <c r="J420" s="369"/>
    </row>
    <row r="421" spans="1:10" ht="12.75">
      <c r="A421" s="249" t="s">
        <v>633</v>
      </c>
      <c r="B421" s="228"/>
      <c r="C421" s="370">
        <v>412200</v>
      </c>
      <c r="D421" s="371" t="s">
        <v>497</v>
      </c>
      <c r="E421" s="359">
        <v>176300</v>
      </c>
      <c r="F421" s="359">
        <f aca="true" t="shared" si="54" ref="F421:F441">G421-E421</f>
        <v>87000</v>
      </c>
      <c r="G421" s="359">
        <v>263300</v>
      </c>
      <c r="H421" s="346">
        <f t="shared" si="53"/>
        <v>149.34770277935337</v>
      </c>
      <c r="I421" s="347">
        <f t="shared" si="51"/>
        <v>0.8222985633978764</v>
      </c>
      <c r="J421" s="369"/>
    </row>
    <row r="422" spans="1:10" ht="12.75">
      <c r="A422" s="249" t="s">
        <v>633</v>
      </c>
      <c r="B422" s="228"/>
      <c r="C422" s="370">
        <v>412200</v>
      </c>
      <c r="D422" s="371" t="s">
        <v>498</v>
      </c>
      <c r="E422" s="359">
        <v>20000</v>
      </c>
      <c r="F422" s="359">
        <f t="shared" si="54"/>
        <v>4500</v>
      </c>
      <c r="G422" s="359">
        <v>24500</v>
      </c>
      <c r="H422" s="346">
        <f t="shared" si="53"/>
        <v>122.50000000000001</v>
      </c>
      <c r="I422" s="347">
        <f t="shared" si="51"/>
        <v>0.07651467832604622</v>
      </c>
      <c r="J422" s="369"/>
    </row>
    <row r="423" spans="1:10" ht="12.75">
      <c r="A423" s="249" t="s">
        <v>633</v>
      </c>
      <c r="B423" s="228"/>
      <c r="C423" s="370">
        <v>412200</v>
      </c>
      <c r="D423" s="371" t="s">
        <v>499</v>
      </c>
      <c r="E423" s="359">
        <v>41790</v>
      </c>
      <c r="F423" s="359">
        <f t="shared" si="54"/>
        <v>-12500</v>
      </c>
      <c r="G423" s="359">
        <v>29290</v>
      </c>
      <c r="H423" s="346">
        <f t="shared" si="53"/>
        <v>70.08853792773391</v>
      </c>
      <c r="I423" s="347">
        <f t="shared" si="51"/>
        <v>0.09147407870081199</v>
      </c>
      <c r="J423" s="369"/>
    </row>
    <row r="424" spans="1:10" ht="12.75">
      <c r="A424" s="249" t="s">
        <v>633</v>
      </c>
      <c r="B424" s="228"/>
      <c r="C424" s="370">
        <v>412200</v>
      </c>
      <c r="D424" s="371" t="s">
        <v>550</v>
      </c>
      <c r="E424" s="359">
        <v>95000</v>
      </c>
      <c r="F424" s="359">
        <f t="shared" si="54"/>
        <v>108300</v>
      </c>
      <c r="G424" s="359">
        <v>203300</v>
      </c>
      <c r="H424" s="346">
        <f t="shared" si="53"/>
        <v>214</v>
      </c>
      <c r="I424" s="347">
        <f t="shared" si="51"/>
        <v>0.6349156777014366</v>
      </c>
      <c r="J424" s="369"/>
    </row>
    <row r="425" spans="1:10" ht="12.75">
      <c r="A425" s="249" t="s">
        <v>633</v>
      </c>
      <c r="B425" s="228"/>
      <c r="C425" s="370">
        <v>412300</v>
      </c>
      <c r="D425" s="371" t="s">
        <v>500</v>
      </c>
      <c r="E425" s="359">
        <v>12750</v>
      </c>
      <c r="F425" s="359">
        <f t="shared" si="54"/>
        <v>9500</v>
      </c>
      <c r="G425" s="359">
        <v>22250</v>
      </c>
      <c r="H425" s="346">
        <f t="shared" si="53"/>
        <v>174.50980392156862</v>
      </c>
      <c r="I425" s="347">
        <f t="shared" si="51"/>
        <v>0.06948782011242974</v>
      </c>
      <c r="J425" s="369"/>
    </row>
    <row r="426" spans="1:10" ht="12.75">
      <c r="A426" s="249" t="s">
        <v>633</v>
      </c>
      <c r="B426" s="228"/>
      <c r="C426" s="370">
        <v>412300</v>
      </c>
      <c r="D426" s="371" t="s">
        <v>501</v>
      </c>
      <c r="E426" s="359">
        <v>7500</v>
      </c>
      <c r="F426" s="359">
        <f t="shared" si="54"/>
        <v>4600</v>
      </c>
      <c r="G426" s="359">
        <v>12100</v>
      </c>
      <c r="H426" s="346">
        <f t="shared" si="53"/>
        <v>161.33333333333331</v>
      </c>
      <c r="I426" s="347">
        <f t="shared" si="51"/>
        <v>0.03778888194878201</v>
      </c>
      <c r="J426" s="369"/>
    </row>
    <row r="427" spans="1:10" ht="12.75">
      <c r="A427" s="249" t="s">
        <v>633</v>
      </c>
      <c r="B427" s="228"/>
      <c r="C427" s="370">
        <v>412300</v>
      </c>
      <c r="D427" s="371" t="s">
        <v>502</v>
      </c>
      <c r="E427" s="359">
        <v>800</v>
      </c>
      <c r="F427" s="359">
        <f t="shared" si="54"/>
        <v>0</v>
      </c>
      <c r="G427" s="359">
        <v>800</v>
      </c>
      <c r="H427" s="346">
        <f t="shared" si="53"/>
        <v>100</v>
      </c>
      <c r="I427" s="347">
        <f t="shared" si="51"/>
        <v>0.0024984384759525295</v>
      </c>
      <c r="J427" s="369"/>
    </row>
    <row r="428" spans="1:10" ht="12.75">
      <c r="A428" s="249" t="s">
        <v>633</v>
      </c>
      <c r="B428" s="228"/>
      <c r="C428" s="370">
        <v>412300</v>
      </c>
      <c r="D428" s="371" t="s">
        <v>503</v>
      </c>
      <c r="E428" s="359">
        <v>1000</v>
      </c>
      <c r="F428" s="359">
        <f t="shared" si="54"/>
        <v>0</v>
      </c>
      <c r="G428" s="359">
        <v>1000</v>
      </c>
      <c r="H428" s="346">
        <f t="shared" si="53"/>
        <v>100</v>
      </c>
      <c r="I428" s="347">
        <f t="shared" si="51"/>
        <v>0.003123048094940662</v>
      </c>
      <c r="J428" s="369"/>
    </row>
    <row r="429" spans="1:10" ht="12.75">
      <c r="A429" s="249" t="s">
        <v>633</v>
      </c>
      <c r="B429" s="228"/>
      <c r="C429" s="370">
        <v>412400</v>
      </c>
      <c r="D429" s="371" t="s">
        <v>551</v>
      </c>
      <c r="E429" s="359">
        <v>129000</v>
      </c>
      <c r="F429" s="359">
        <f t="shared" si="54"/>
        <v>100000</v>
      </c>
      <c r="G429" s="359">
        <v>229000</v>
      </c>
      <c r="H429" s="346">
        <f t="shared" si="53"/>
        <v>177.51937984496124</v>
      </c>
      <c r="I429" s="347">
        <f t="shared" si="51"/>
        <v>0.7151780137414117</v>
      </c>
      <c r="J429" s="369"/>
    </row>
    <row r="430" spans="1:10" ht="12.75">
      <c r="A430" s="249" t="s">
        <v>633</v>
      </c>
      <c r="B430" s="228"/>
      <c r="C430" s="370">
        <v>412500</v>
      </c>
      <c r="D430" s="371" t="s">
        <v>504</v>
      </c>
      <c r="E430" s="359">
        <v>1550</v>
      </c>
      <c r="F430" s="359">
        <f t="shared" si="54"/>
        <v>0</v>
      </c>
      <c r="G430" s="359">
        <v>1550</v>
      </c>
      <c r="H430" s="346">
        <f t="shared" si="53"/>
        <v>100</v>
      </c>
      <c r="I430" s="347">
        <f t="shared" si="51"/>
        <v>0.004840724547158027</v>
      </c>
      <c r="J430" s="369"/>
    </row>
    <row r="431" spans="1:10" ht="12.75">
      <c r="A431" s="249" t="s">
        <v>633</v>
      </c>
      <c r="B431" s="228"/>
      <c r="C431" s="370">
        <v>412600</v>
      </c>
      <c r="D431" s="371" t="s">
        <v>125</v>
      </c>
      <c r="E431" s="359">
        <v>2900</v>
      </c>
      <c r="F431" s="359">
        <f t="shared" si="54"/>
        <v>0</v>
      </c>
      <c r="G431" s="359">
        <v>2900</v>
      </c>
      <c r="H431" s="346">
        <f t="shared" si="53"/>
        <v>100</v>
      </c>
      <c r="I431" s="347">
        <f t="shared" si="51"/>
        <v>0.00905683947532792</v>
      </c>
      <c r="J431" s="369"/>
    </row>
    <row r="432" spans="1:10" ht="12.75">
      <c r="A432" s="249" t="s">
        <v>633</v>
      </c>
      <c r="B432" s="228"/>
      <c r="C432" s="370">
        <v>412500</v>
      </c>
      <c r="D432" s="371" t="s">
        <v>505</v>
      </c>
      <c r="E432" s="359">
        <v>38000</v>
      </c>
      <c r="F432" s="359">
        <f t="shared" si="54"/>
        <v>13000</v>
      </c>
      <c r="G432" s="359">
        <v>51000</v>
      </c>
      <c r="H432" s="346">
        <f t="shared" si="53"/>
        <v>134.21052631578948</v>
      </c>
      <c r="I432" s="347">
        <f t="shared" si="51"/>
        <v>0.15927545284197378</v>
      </c>
      <c r="J432" s="369"/>
    </row>
    <row r="433" spans="1:10" ht="12.75">
      <c r="A433" s="249" t="s">
        <v>633</v>
      </c>
      <c r="B433" s="228"/>
      <c r="C433" s="370">
        <v>412700</v>
      </c>
      <c r="D433" s="371" t="s">
        <v>506</v>
      </c>
      <c r="E433" s="359">
        <v>7600</v>
      </c>
      <c r="F433" s="359">
        <f t="shared" si="54"/>
        <v>1800</v>
      </c>
      <c r="G433" s="359">
        <v>9400</v>
      </c>
      <c r="H433" s="346">
        <f t="shared" si="53"/>
        <v>123.6842105263158</v>
      </c>
      <c r="I433" s="347">
        <f t="shared" si="51"/>
        <v>0.029356652092442224</v>
      </c>
      <c r="J433" s="369"/>
    </row>
    <row r="434" spans="1:10" ht="12.75">
      <c r="A434" s="249" t="s">
        <v>633</v>
      </c>
      <c r="B434" s="228"/>
      <c r="C434" s="370">
        <v>412700</v>
      </c>
      <c r="D434" s="371" t="s">
        <v>507</v>
      </c>
      <c r="E434" s="359">
        <v>1500</v>
      </c>
      <c r="F434" s="359">
        <f t="shared" si="54"/>
        <v>1000</v>
      </c>
      <c r="G434" s="359">
        <v>2500</v>
      </c>
      <c r="H434" s="346">
        <f t="shared" si="53"/>
        <v>166.66666666666669</v>
      </c>
      <c r="I434" s="347">
        <f t="shared" si="51"/>
        <v>0.007807620237351655</v>
      </c>
      <c r="J434" s="369"/>
    </row>
    <row r="435" spans="1:10" ht="12.75">
      <c r="A435" s="249" t="s">
        <v>633</v>
      </c>
      <c r="B435" s="228"/>
      <c r="C435" s="370">
        <v>412700</v>
      </c>
      <c r="D435" s="371" t="s">
        <v>508</v>
      </c>
      <c r="E435" s="359">
        <v>8000</v>
      </c>
      <c r="F435" s="359">
        <f t="shared" si="54"/>
        <v>-500</v>
      </c>
      <c r="G435" s="359">
        <v>7500</v>
      </c>
      <c r="H435" s="346">
        <f t="shared" si="53"/>
        <v>93.75</v>
      </c>
      <c r="I435" s="347">
        <f t="shared" si="51"/>
        <v>0.023422860712054967</v>
      </c>
      <c r="J435" s="369"/>
    </row>
    <row r="436" spans="1:10" ht="12.75">
      <c r="A436" s="249" t="s">
        <v>633</v>
      </c>
      <c r="B436" s="228"/>
      <c r="C436" s="370">
        <v>412700</v>
      </c>
      <c r="D436" s="371" t="s">
        <v>552</v>
      </c>
      <c r="E436" s="359">
        <v>5400</v>
      </c>
      <c r="F436" s="359">
        <f t="shared" si="54"/>
        <v>1800</v>
      </c>
      <c r="G436" s="359">
        <v>7200</v>
      </c>
      <c r="H436" s="346">
        <f t="shared" si="53"/>
        <v>133.33333333333331</v>
      </c>
      <c r="I436" s="347">
        <f t="shared" si="51"/>
        <v>0.022485946283572766</v>
      </c>
      <c r="J436" s="369"/>
    </row>
    <row r="437" spans="1:10" ht="12.75">
      <c r="A437" s="249" t="s">
        <v>633</v>
      </c>
      <c r="B437" s="228"/>
      <c r="C437" s="370">
        <v>412700</v>
      </c>
      <c r="D437" s="371" t="s">
        <v>553</v>
      </c>
      <c r="E437" s="359">
        <v>73350</v>
      </c>
      <c r="F437" s="359">
        <f t="shared" si="54"/>
        <v>0</v>
      </c>
      <c r="G437" s="359">
        <v>73350</v>
      </c>
      <c r="H437" s="346">
        <f t="shared" si="53"/>
        <v>100</v>
      </c>
      <c r="I437" s="347">
        <f t="shared" si="51"/>
        <v>0.22907557776389756</v>
      </c>
      <c r="J437" s="369"/>
    </row>
    <row r="438" spans="1:10" ht="12.75">
      <c r="A438" s="249" t="s">
        <v>633</v>
      </c>
      <c r="B438" s="228"/>
      <c r="C438" s="370">
        <v>412900</v>
      </c>
      <c r="D438" s="371" t="s">
        <v>144</v>
      </c>
      <c r="E438" s="359">
        <v>12600</v>
      </c>
      <c r="F438" s="359">
        <f t="shared" si="54"/>
        <v>3000</v>
      </c>
      <c r="G438" s="359">
        <v>15600</v>
      </c>
      <c r="H438" s="346">
        <f t="shared" si="53"/>
        <v>123.80952380952381</v>
      </c>
      <c r="I438" s="347">
        <f t="shared" si="51"/>
        <v>0.04871955028107433</v>
      </c>
      <c r="J438" s="369"/>
    </row>
    <row r="439" spans="1:10" ht="12.75">
      <c r="A439" s="249" t="s">
        <v>633</v>
      </c>
      <c r="B439" s="228"/>
      <c r="C439" s="370">
        <v>412900</v>
      </c>
      <c r="D439" s="371" t="s">
        <v>509</v>
      </c>
      <c r="E439" s="359">
        <v>113000</v>
      </c>
      <c r="F439" s="359">
        <f t="shared" si="54"/>
        <v>107448.76999999999</v>
      </c>
      <c r="G439" s="359">
        <v>220448.77</v>
      </c>
      <c r="H439" s="346">
        <f t="shared" si="53"/>
        <v>195.087407079646</v>
      </c>
      <c r="I439" s="347">
        <f t="shared" si="51"/>
        <v>0.6884721111805121</v>
      </c>
      <c r="J439" s="369"/>
    </row>
    <row r="440" spans="1:10" ht="14.25" customHeight="1">
      <c r="A440" s="249" t="s">
        <v>633</v>
      </c>
      <c r="B440" s="228"/>
      <c r="C440" s="370">
        <v>412900</v>
      </c>
      <c r="D440" s="371" t="s">
        <v>510</v>
      </c>
      <c r="E440" s="359">
        <v>9000</v>
      </c>
      <c r="F440" s="359">
        <f t="shared" si="54"/>
        <v>0</v>
      </c>
      <c r="G440" s="359">
        <v>9000</v>
      </c>
      <c r="H440" s="346">
        <f t="shared" si="53"/>
        <v>100</v>
      </c>
      <c r="I440" s="347">
        <f t="shared" si="51"/>
        <v>0.02810743285446596</v>
      </c>
      <c r="J440" s="369"/>
    </row>
    <row r="441" spans="1:10" ht="27" customHeight="1">
      <c r="A441" s="249" t="s">
        <v>633</v>
      </c>
      <c r="B441" s="228"/>
      <c r="C441" s="370">
        <v>412900</v>
      </c>
      <c r="D441" s="372" t="s">
        <v>511</v>
      </c>
      <c r="E441" s="359">
        <v>9600</v>
      </c>
      <c r="F441" s="359">
        <f t="shared" si="54"/>
        <v>-4100</v>
      </c>
      <c r="G441" s="359">
        <v>5500</v>
      </c>
      <c r="H441" s="346">
        <f t="shared" si="53"/>
        <v>57.291666666666664</v>
      </c>
      <c r="I441" s="347">
        <f t="shared" si="51"/>
        <v>0.017176764522173642</v>
      </c>
      <c r="J441" s="369"/>
    </row>
    <row r="442" spans="1:10" ht="12.75" customHeight="1" hidden="1">
      <c r="A442" s="249"/>
      <c r="B442" s="228" t="s">
        <v>512</v>
      </c>
      <c r="C442" s="166"/>
      <c r="D442" s="368" t="s">
        <v>129</v>
      </c>
      <c r="E442" s="353">
        <f>SUM(E443)</f>
        <v>0</v>
      </c>
      <c r="F442" s="353">
        <f>SUM(F443)</f>
        <v>0</v>
      </c>
      <c r="G442" s="353">
        <f>SUM(G443)</f>
        <v>0</v>
      </c>
      <c r="H442" s="354" t="e">
        <f t="shared" si="53"/>
        <v>#DIV/0!</v>
      </c>
      <c r="I442" s="355">
        <f t="shared" si="51"/>
        <v>0</v>
      </c>
      <c r="J442" s="369"/>
    </row>
    <row r="443" spans="1:10" ht="22.5" customHeight="1" hidden="1">
      <c r="A443" s="249" t="s">
        <v>538</v>
      </c>
      <c r="B443" s="228"/>
      <c r="C443" s="166">
        <v>413300</v>
      </c>
      <c r="D443" s="166" t="s">
        <v>519</v>
      </c>
      <c r="E443" s="359">
        <v>0</v>
      </c>
      <c r="F443" s="359">
        <v>0</v>
      </c>
      <c r="G443" s="359">
        <v>0</v>
      </c>
      <c r="H443" s="354" t="e">
        <f t="shared" si="53"/>
        <v>#DIV/0!</v>
      </c>
      <c r="I443" s="355">
        <f t="shared" si="51"/>
        <v>0</v>
      </c>
      <c r="J443" s="369"/>
    </row>
    <row r="444" spans="1:10" ht="24" customHeight="1">
      <c r="A444" s="249"/>
      <c r="B444" s="246" t="s">
        <v>513</v>
      </c>
      <c r="C444" s="166"/>
      <c r="D444" s="272" t="s">
        <v>514</v>
      </c>
      <c r="E444" s="419">
        <f>SUM(E445:E446)</f>
        <v>6000</v>
      </c>
      <c r="F444" s="419">
        <f>SUM(F445:F446)</f>
        <v>0</v>
      </c>
      <c r="G444" s="419">
        <f>SUM(G445:G446)</f>
        <v>6000</v>
      </c>
      <c r="H444" s="354">
        <f t="shared" si="53"/>
        <v>100</v>
      </c>
      <c r="I444" s="355">
        <f aca="true" t="shared" si="55" ref="I444:I471">G444/$G$611*100</f>
        <v>0.018738288569643973</v>
      </c>
      <c r="J444" s="369"/>
    </row>
    <row r="445" spans="1:10" ht="12.75" customHeight="1" hidden="1">
      <c r="A445" s="249" t="s">
        <v>633</v>
      </c>
      <c r="B445" s="228"/>
      <c r="C445" s="166">
        <v>418100</v>
      </c>
      <c r="D445" s="372" t="s">
        <v>520</v>
      </c>
      <c r="E445" s="359">
        <v>0</v>
      </c>
      <c r="F445" s="359">
        <f>G445-E445</f>
        <v>0</v>
      </c>
      <c r="G445" s="359">
        <v>0</v>
      </c>
      <c r="H445" s="346" t="e">
        <f t="shared" si="53"/>
        <v>#DIV/0!</v>
      </c>
      <c r="I445" s="347">
        <f t="shared" si="55"/>
        <v>0</v>
      </c>
      <c r="J445" s="369"/>
    </row>
    <row r="446" spans="1:10" ht="14.25" customHeight="1">
      <c r="A446" s="249" t="s">
        <v>633</v>
      </c>
      <c r="B446" s="228"/>
      <c r="C446" s="166">
        <v>418200</v>
      </c>
      <c r="D446" s="372" t="s">
        <v>554</v>
      </c>
      <c r="E446" s="359">
        <v>6000</v>
      </c>
      <c r="F446" s="359">
        <f>G446-E446</f>
        <v>0</v>
      </c>
      <c r="G446" s="359">
        <v>6000</v>
      </c>
      <c r="H446" s="346">
        <f t="shared" si="53"/>
        <v>100</v>
      </c>
      <c r="I446" s="347">
        <f t="shared" si="55"/>
        <v>0.018738288569643973</v>
      </c>
      <c r="J446" s="369"/>
    </row>
    <row r="447" spans="1:10" ht="12.75" customHeight="1" hidden="1">
      <c r="A447" s="249"/>
      <c r="B447" s="228" t="s">
        <v>362</v>
      </c>
      <c r="C447" s="166"/>
      <c r="D447" s="272" t="s">
        <v>305</v>
      </c>
      <c r="E447" s="353">
        <f>SUM(E448)</f>
        <v>0</v>
      </c>
      <c r="F447" s="359">
        <f>G447-E447</f>
        <v>0</v>
      </c>
      <c r="G447" s="353">
        <f>SUM(G448)</f>
        <v>0</v>
      </c>
      <c r="H447" s="354" t="e">
        <f t="shared" si="53"/>
        <v>#DIV/0!</v>
      </c>
      <c r="I447" s="355">
        <f t="shared" si="55"/>
        <v>0</v>
      </c>
      <c r="J447" s="369"/>
    </row>
    <row r="448" spans="1:10" ht="14.25" customHeight="1" hidden="1">
      <c r="A448" s="249" t="s">
        <v>538</v>
      </c>
      <c r="B448" s="228"/>
      <c r="C448" s="166">
        <v>419100</v>
      </c>
      <c r="D448" s="372" t="s">
        <v>305</v>
      </c>
      <c r="E448" s="359">
        <v>0</v>
      </c>
      <c r="F448" s="359">
        <f>G448-E448</f>
        <v>0</v>
      </c>
      <c r="G448" s="359">
        <v>0</v>
      </c>
      <c r="H448" s="354" t="e">
        <f t="shared" si="53"/>
        <v>#DIV/0!</v>
      </c>
      <c r="I448" s="355">
        <f t="shared" si="55"/>
        <v>0</v>
      </c>
      <c r="J448" s="369"/>
    </row>
    <row r="449" spans="1:10" ht="12.75" customHeight="1">
      <c r="A449" s="249"/>
      <c r="B449" s="349" t="s">
        <v>521</v>
      </c>
      <c r="C449" s="166"/>
      <c r="D449" s="374" t="s">
        <v>515</v>
      </c>
      <c r="E449" s="419">
        <f>SUM(E450:E453)</f>
        <v>202000</v>
      </c>
      <c r="F449" s="419">
        <f>SUM(F450:F453)</f>
        <v>951.2299999999996</v>
      </c>
      <c r="G449" s="419">
        <f>SUM(G450:G453)</f>
        <v>202951.23</v>
      </c>
      <c r="H449" s="354">
        <f t="shared" si="53"/>
        <v>100.47090594059406</v>
      </c>
      <c r="I449" s="355">
        <f t="shared" si="55"/>
        <v>0.6338264522173642</v>
      </c>
      <c r="J449" s="369"/>
    </row>
    <row r="450" spans="1:10" ht="22.5" customHeight="1">
      <c r="A450" s="249" t="s">
        <v>633</v>
      </c>
      <c r="B450" s="228"/>
      <c r="C450" s="166">
        <v>511200</v>
      </c>
      <c r="D450" s="372" t="s">
        <v>139</v>
      </c>
      <c r="E450" s="359">
        <v>12000</v>
      </c>
      <c r="F450" s="359">
        <f>G450-E450</f>
        <v>-6048.77</v>
      </c>
      <c r="G450" s="359">
        <v>5951.23</v>
      </c>
      <c r="H450" s="346">
        <f t="shared" si="53"/>
        <v>49.59358333333333</v>
      </c>
      <c r="I450" s="347">
        <f t="shared" si="55"/>
        <v>0.018585977514053716</v>
      </c>
      <c r="J450" s="369"/>
    </row>
    <row r="451" spans="1:10" ht="14.25" customHeight="1">
      <c r="A451" s="249" t="s">
        <v>633</v>
      </c>
      <c r="B451" s="228"/>
      <c r="C451" s="166">
        <v>511300</v>
      </c>
      <c r="D451" s="372" t="s">
        <v>660</v>
      </c>
      <c r="E451" s="359">
        <v>182000</v>
      </c>
      <c r="F451" s="359">
        <f>G451-E451</f>
        <v>0</v>
      </c>
      <c r="G451" s="359">
        <v>182000</v>
      </c>
      <c r="H451" s="346">
        <f t="shared" si="53"/>
        <v>100</v>
      </c>
      <c r="I451" s="347">
        <f t="shared" si="55"/>
        <v>0.5683947532792005</v>
      </c>
      <c r="J451" s="369"/>
    </row>
    <row r="452" spans="1:10" ht="12.75" customHeight="1">
      <c r="A452" s="249" t="s">
        <v>633</v>
      </c>
      <c r="B452" s="228"/>
      <c r="C452" s="166">
        <v>511300</v>
      </c>
      <c r="D452" s="372" t="s">
        <v>522</v>
      </c>
      <c r="E452" s="359">
        <v>8000</v>
      </c>
      <c r="F452" s="359">
        <f>G452-E452</f>
        <v>7000</v>
      </c>
      <c r="G452" s="359">
        <v>15000</v>
      </c>
      <c r="H452" s="346">
        <f t="shared" si="53"/>
        <v>187.5</v>
      </c>
      <c r="I452" s="347">
        <f t="shared" si="55"/>
        <v>0.046845721424109935</v>
      </c>
      <c r="J452" s="369"/>
    </row>
    <row r="453" spans="1:10" ht="12.75" customHeight="1" hidden="1">
      <c r="A453" s="249" t="s">
        <v>538</v>
      </c>
      <c r="B453" s="228"/>
      <c r="C453" s="166">
        <v>511700</v>
      </c>
      <c r="D453" s="372" t="s">
        <v>523</v>
      </c>
      <c r="E453" s="359">
        <v>0</v>
      </c>
      <c r="F453" s="359">
        <v>0</v>
      </c>
      <c r="G453" s="359">
        <v>0</v>
      </c>
      <c r="H453" s="354" t="e">
        <f t="shared" si="53"/>
        <v>#DIV/0!</v>
      </c>
      <c r="I453" s="355">
        <f t="shared" si="55"/>
        <v>0</v>
      </c>
      <c r="J453" s="369"/>
    </row>
    <row r="454" spans="1:10" ht="7.5" customHeight="1" hidden="1">
      <c r="A454" s="249"/>
      <c r="B454" s="349" t="s">
        <v>363</v>
      </c>
      <c r="C454" s="166"/>
      <c r="D454" s="374" t="s">
        <v>164</v>
      </c>
      <c r="E454" s="353">
        <f>SUM(E455)</f>
        <v>0</v>
      </c>
      <c r="F454" s="353">
        <f>SUM(F455)</f>
        <v>0</v>
      </c>
      <c r="G454" s="353">
        <f>SUM(G455)</f>
        <v>0</v>
      </c>
      <c r="H454" s="354" t="e">
        <f t="shared" si="53"/>
        <v>#DIV/0!</v>
      </c>
      <c r="I454" s="355">
        <f t="shared" si="55"/>
        <v>0</v>
      </c>
      <c r="J454" s="369"/>
    </row>
    <row r="455" spans="1:10" ht="12.75" customHeight="1" hidden="1">
      <c r="A455" s="249" t="s">
        <v>538</v>
      </c>
      <c r="B455" s="228"/>
      <c r="C455" s="166">
        <v>513700</v>
      </c>
      <c r="D455" s="372" t="s">
        <v>524</v>
      </c>
      <c r="E455" s="359">
        <v>0</v>
      </c>
      <c r="F455" s="359">
        <v>0</v>
      </c>
      <c r="G455" s="359">
        <v>0</v>
      </c>
      <c r="H455" s="354" t="e">
        <f t="shared" si="53"/>
        <v>#DIV/0!</v>
      </c>
      <c r="I455" s="355">
        <f t="shared" si="55"/>
        <v>0</v>
      </c>
      <c r="J455" s="369"/>
    </row>
    <row r="456" spans="1:10" ht="25.5" customHeight="1" hidden="1">
      <c r="A456" s="249"/>
      <c r="B456" s="349" t="s">
        <v>525</v>
      </c>
      <c r="C456" s="374"/>
      <c r="D456" s="374" t="s">
        <v>516</v>
      </c>
      <c r="E456" s="353">
        <f>SUM(E457:E458)</f>
        <v>0</v>
      </c>
      <c r="F456" s="353">
        <f>SUM(F457:F458)</f>
        <v>0</v>
      </c>
      <c r="G456" s="353">
        <f>SUM(G457:G458)</f>
        <v>0</v>
      </c>
      <c r="H456" s="354" t="e">
        <f t="shared" si="53"/>
        <v>#DIV/0!</v>
      </c>
      <c r="I456" s="355">
        <f t="shared" si="55"/>
        <v>0</v>
      </c>
      <c r="J456" s="369"/>
    </row>
    <row r="457" spans="1:10" ht="12.75" customHeight="1" hidden="1">
      <c r="A457" s="249" t="s">
        <v>538</v>
      </c>
      <c r="B457" s="228"/>
      <c r="C457" s="166">
        <v>516100</v>
      </c>
      <c r="D457" s="372" t="s">
        <v>526</v>
      </c>
      <c r="E457" s="359">
        <v>0</v>
      </c>
      <c r="F457" s="359">
        <v>0</v>
      </c>
      <c r="G457" s="359">
        <v>0</v>
      </c>
      <c r="H457" s="354" t="e">
        <f t="shared" si="53"/>
        <v>#DIV/0!</v>
      </c>
      <c r="I457" s="355">
        <f t="shared" si="55"/>
        <v>0</v>
      </c>
      <c r="J457" s="369"/>
    </row>
    <row r="458" spans="1:10" ht="12.75" customHeight="1" hidden="1">
      <c r="A458" s="249" t="s">
        <v>538</v>
      </c>
      <c r="B458" s="228"/>
      <c r="C458" s="166">
        <v>516100</v>
      </c>
      <c r="D458" s="372" t="s">
        <v>527</v>
      </c>
      <c r="E458" s="359">
        <v>0</v>
      </c>
      <c r="F458" s="359">
        <v>0</v>
      </c>
      <c r="G458" s="359">
        <v>0</v>
      </c>
      <c r="H458" s="354" t="e">
        <f t="shared" si="53"/>
        <v>#DIV/0!</v>
      </c>
      <c r="I458" s="355">
        <f t="shared" si="55"/>
        <v>0</v>
      </c>
      <c r="J458" s="369"/>
    </row>
    <row r="459" spans="1:10" ht="12.75" customHeight="1" hidden="1">
      <c r="A459" s="249"/>
      <c r="B459" s="349" t="s">
        <v>517</v>
      </c>
      <c r="C459" s="166"/>
      <c r="D459" s="374" t="s">
        <v>254</v>
      </c>
      <c r="E459" s="353">
        <f>SUM(E460)</f>
        <v>0</v>
      </c>
      <c r="F459" s="353">
        <f>SUM(F460)</f>
        <v>0</v>
      </c>
      <c r="G459" s="353">
        <f>SUM(G460)</f>
        <v>0</v>
      </c>
      <c r="H459" s="354" t="e">
        <f t="shared" si="53"/>
        <v>#DIV/0!</v>
      </c>
      <c r="I459" s="355">
        <f t="shared" si="55"/>
        <v>0</v>
      </c>
      <c r="J459" s="369"/>
    </row>
    <row r="460" spans="1:10" ht="12.75" customHeight="1" hidden="1">
      <c r="A460" s="249"/>
      <c r="B460" s="228"/>
      <c r="C460" s="166">
        <v>611000</v>
      </c>
      <c r="D460" s="372" t="s">
        <v>254</v>
      </c>
      <c r="E460" s="359">
        <v>0</v>
      </c>
      <c r="F460" s="359">
        <v>0</v>
      </c>
      <c r="G460" s="359">
        <v>0</v>
      </c>
      <c r="H460" s="354" t="e">
        <f t="shared" si="53"/>
        <v>#DIV/0!</v>
      </c>
      <c r="I460" s="355">
        <f t="shared" si="55"/>
        <v>0</v>
      </c>
      <c r="J460" s="369"/>
    </row>
    <row r="461" spans="1:10" ht="1.5" customHeight="1" hidden="1">
      <c r="A461" s="249"/>
      <c r="B461" s="375" t="s">
        <v>528</v>
      </c>
      <c r="C461" s="376"/>
      <c r="D461" s="374" t="s">
        <v>141</v>
      </c>
      <c r="E461" s="353">
        <f>SUM(E462:E463)</f>
        <v>0</v>
      </c>
      <c r="F461" s="353">
        <f>SUM(F462:F463)</f>
        <v>0</v>
      </c>
      <c r="G461" s="353">
        <f>SUM(G462:G463)</f>
        <v>0</v>
      </c>
      <c r="H461" s="354" t="e">
        <f t="shared" si="53"/>
        <v>#DIV/0!</v>
      </c>
      <c r="I461" s="355">
        <f t="shared" si="55"/>
        <v>0</v>
      </c>
      <c r="J461" s="369"/>
    </row>
    <row r="462" spans="1:10" ht="12.75" customHeight="1" hidden="1">
      <c r="A462" s="249"/>
      <c r="B462" s="228"/>
      <c r="C462" s="166">
        <v>621300</v>
      </c>
      <c r="D462" s="372" t="s">
        <v>532</v>
      </c>
      <c r="E462" s="359">
        <v>0</v>
      </c>
      <c r="F462" s="359">
        <v>0</v>
      </c>
      <c r="G462" s="359">
        <v>0</v>
      </c>
      <c r="H462" s="354" t="e">
        <f t="shared" si="53"/>
        <v>#DIV/0!</v>
      </c>
      <c r="I462" s="355">
        <f t="shared" si="55"/>
        <v>0</v>
      </c>
      <c r="J462" s="369"/>
    </row>
    <row r="463" spans="1:10" ht="12.75" customHeight="1" hidden="1">
      <c r="A463" s="249"/>
      <c r="B463" s="228"/>
      <c r="C463" s="166">
        <v>621900</v>
      </c>
      <c r="D463" s="372" t="s">
        <v>291</v>
      </c>
      <c r="E463" s="359">
        <v>0</v>
      </c>
      <c r="F463" s="359">
        <v>0</v>
      </c>
      <c r="G463" s="359">
        <v>0</v>
      </c>
      <c r="H463" s="354" t="e">
        <f t="shared" si="53"/>
        <v>#DIV/0!</v>
      </c>
      <c r="I463" s="355">
        <f t="shared" si="55"/>
        <v>0</v>
      </c>
      <c r="J463" s="369"/>
    </row>
    <row r="464" spans="1:10" s="352" customFormat="1" ht="23.25" customHeight="1" hidden="1">
      <c r="A464" s="249"/>
      <c r="B464" s="246" t="s">
        <v>529</v>
      </c>
      <c r="C464" s="376"/>
      <c r="D464" s="374" t="s">
        <v>518</v>
      </c>
      <c r="E464" s="419">
        <f>E465</f>
        <v>0</v>
      </c>
      <c r="F464" s="419">
        <f>F465</f>
        <v>0</v>
      </c>
      <c r="G464" s="419">
        <f>G465</f>
        <v>0</v>
      </c>
      <c r="H464" s="354" t="e">
        <f t="shared" si="53"/>
        <v>#DIV/0!</v>
      </c>
      <c r="I464" s="355">
        <f t="shared" si="55"/>
        <v>0</v>
      </c>
      <c r="J464" s="369"/>
    </row>
    <row r="465" spans="1:10" s="352" customFormat="1" ht="19.5" customHeight="1" hidden="1">
      <c r="A465" s="249"/>
      <c r="B465" s="228"/>
      <c r="C465" s="166">
        <v>628100</v>
      </c>
      <c r="D465" s="372" t="s">
        <v>533</v>
      </c>
      <c r="E465" s="359">
        <v>0</v>
      </c>
      <c r="F465" s="359">
        <f>G465-E465</f>
        <v>0</v>
      </c>
      <c r="G465" s="359">
        <v>0</v>
      </c>
      <c r="H465" s="346" t="e">
        <f t="shared" si="53"/>
        <v>#DIV/0!</v>
      </c>
      <c r="I465" s="347">
        <f t="shared" si="55"/>
        <v>0</v>
      </c>
      <c r="J465" s="369"/>
    </row>
    <row r="466" spans="1:10" ht="13.5">
      <c r="A466" s="249"/>
      <c r="B466" s="246" t="s">
        <v>530</v>
      </c>
      <c r="C466" s="376"/>
      <c r="D466" s="374" t="s">
        <v>314</v>
      </c>
      <c r="E466" s="419">
        <f>SUM(E467:E468)</f>
        <v>238000</v>
      </c>
      <c r="F466" s="419">
        <f>SUM(F467:F468)</f>
        <v>0</v>
      </c>
      <c r="G466" s="419">
        <f>SUM(G467:G468)</f>
        <v>238000</v>
      </c>
      <c r="H466" s="354">
        <f t="shared" si="53"/>
        <v>100</v>
      </c>
      <c r="I466" s="355">
        <f t="shared" si="55"/>
        <v>0.7432854465958776</v>
      </c>
      <c r="J466" s="369"/>
    </row>
    <row r="467" spans="1:10" ht="12.75">
      <c r="A467" s="249"/>
      <c r="B467" s="228"/>
      <c r="C467" s="166">
        <v>631100</v>
      </c>
      <c r="D467" s="372" t="s">
        <v>534</v>
      </c>
      <c r="E467" s="359">
        <v>35000</v>
      </c>
      <c r="F467" s="359">
        <f>G467-E467</f>
        <v>0</v>
      </c>
      <c r="G467" s="359">
        <v>35000</v>
      </c>
      <c r="H467" s="346">
        <f t="shared" si="53"/>
        <v>100</v>
      </c>
      <c r="I467" s="347">
        <f t="shared" si="55"/>
        <v>0.10930668332292316</v>
      </c>
      <c r="J467" s="369"/>
    </row>
    <row r="468" spans="1:10" ht="12.75">
      <c r="A468" s="249"/>
      <c r="B468" s="228"/>
      <c r="C468" s="166">
        <v>631900</v>
      </c>
      <c r="D468" s="372" t="s">
        <v>648</v>
      </c>
      <c r="E468" s="359">
        <v>203000</v>
      </c>
      <c r="F468" s="359">
        <f>G468-E468</f>
        <v>0</v>
      </c>
      <c r="G468" s="359">
        <v>203000</v>
      </c>
      <c r="H468" s="346">
        <f t="shared" si="53"/>
        <v>100</v>
      </c>
      <c r="I468" s="347">
        <f t="shared" si="55"/>
        <v>0.6339787632729543</v>
      </c>
      <c r="J468" s="369"/>
    </row>
    <row r="469" spans="1:10" ht="25.5">
      <c r="A469" s="249"/>
      <c r="B469" s="246" t="s">
        <v>531</v>
      </c>
      <c r="C469" s="376"/>
      <c r="D469" s="374" t="s">
        <v>535</v>
      </c>
      <c r="E469" s="419">
        <f>SUM(E470)</f>
        <v>20000</v>
      </c>
      <c r="F469" s="419">
        <f>SUM(F470)</f>
        <v>31300</v>
      </c>
      <c r="G469" s="419">
        <f>SUM(G470)</f>
        <v>51300</v>
      </c>
      <c r="H469" s="354">
        <f t="shared" si="53"/>
        <v>256.5</v>
      </c>
      <c r="I469" s="355">
        <f t="shared" si="55"/>
        <v>0.16021236727045596</v>
      </c>
      <c r="J469" s="369"/>
    </row>
    <row r="470" spans="1:10" ht="28.5" customHeight="1">
      <c r="A470" s="249"/>
      <c r="B470" s="228"/>
      <c r="C470" s="372">
        <v>638100</v>
      </c>
      <c r="D470" s="372" t="s">
        <v>536</v>
      </c>
      <c r="E470" s="359">
        <v>20000</v>
      </c>
      <c r="F470" s="359">
        <f>G470-E470</f>
        <v>31300</v>
      </c>
      <c r="G470" s="359">
        <v>51300</v>
      </c>
      <c r="H470" s="346">
        <f t="shared" si="53"/>
        <v>256.5</v>
      </c>
      <c r="I470" s="347">
        <f t="shared" si="55"/>
        <v>0.16021236727045596</v>
      </c>
      <c r="J470" s="369"/>
    </row>
    <row r="471" spans="1:10" ht="23.25" customHeight="1">
      <c r="A471" s="249"/>
      <c r="B471" s="228"/>
      <c r="C471" s="501" t="s">
        <v>493</v>
      </c>
      <c r="D471" s="505"/>
      <c r="E471" s="356">
        <f>E412+E419+E442+E444+E447+E449+E454+E456+E459+E461+E464+E466+E469</f>
        <v>4922200</v>
      </c>
      <c r="F471" s="356">
        <f>F412+F419+F442+F444+F447+F449+F454+F456+F459+F461+F464+F466+F469</f>
        <v>1000900</v>
      </c>
      <c r="G471" s="356">
        <f>G412+G419+G442+G444+G447+G449+G454+G456+G459+G461+G464+G466+G469</f>
        <v>5923100</v>
      </c>
      <c r="H471" s="357">
        <f t="shared" si="53"/>
        <v>120.3344033155906</v>
      </c>
      <c r="I471" s="358">
        <f t="shared" si="55"/>
        <v>18.498126171143035</v>
      </c>
      <c r="J471" s="369"/>
    </row>
    <row r="472" spans="1:10" ht="9.75" customHeight="1">
      <c r="A472" s="507"/>
      <c r="B472" s="508"/>
      <c r="C472" s="503" t="s">
        <v>584</v>
      </c>
      <c r="D472" s="504"/>
      <c r="E472" s="158"/>
      <c r="F472" s="158"/>
      <c r="G472" s="158"/>
      <c r="H472" s="158"/>
      <c r="I472" s="159"/>
      <c r="J472" s="6"/>
    </row>
    <row r="473" spans="1:10" ht="9.75" customHeight="1">
      <c r="A473" s="507"/>
      <c r="B473" s="508"/>
      <c r="C473" s="504"/>
      <c r="D473" s="504"/>
      <c r="E473" s="160"/>
      <c r="F473" s="160"/>
      <c r="G473" s="160"/>
      <c r="H473" s="160"/>
      <c r="I473" s="161"/>
      <c r="J473" s="6"/>
    </row>
    <row r="474" spans="1:10" ht="23.25" customHeight="1">
      <c r="A474" s="507"/>
      <c r="B474" s="508"/>
      <c r="C474" s="504"/>
      <c r="D474" s="504"/>
      <c r="E474" s="162"/>
      <c r="F474" s="162"/>
      <c r="G474" s="162"/>
      <c r="H474" s="162"/>
      <c r="I474" s="163"/>
      <c r="J474" s="6"/>
    </row>
    <row r="475" spans="1:10" ht="14.25" customHeight="1">
      <c r="A475" s="129"/>
      <c r="B475" s="52">
        <v>411000</v>
      </c>
      <c r="C475" s="46"/>
      <c r="D475" s="78" t="s">
        <v>321</v>
      </c>
      <c r="E475" s="145">
        <f>SUM(E476)</f>
        <v>18000</v>
      </c>
      <c r="F475" s="145">
        <f>SUM(F476)</f>
        <v>-400</v>
      </c>
      <c r="G475" s="145">
        <f>SUM(G476)</f>
        <v>17600</v>
      </c>
      <c r="H475" s="145">
        <f>G475/E475*100</f>
        <v>97.77777777777777</v>
      </c>
      <c r="I475" s="181">
        <f aca="true" t="shared" si="56" ref="I475:I492">G475/$G$611*100</f>
        <v>0.054965646470955656</v>
      </c>
      <c r="J475" s="6"/>
    </row>
    <row r="476" spans="1:10" ht="24.75" customHeight="1">
      <c r="A476" s="129" t="s">
        <v>27</v>
      </c>
      <c r="B476" s="132"/>
      <c r="C476" s="66">
        <v>411200</v>
      </c>
      <c r="D476" s="72" t="s">
        <v>322</v>
      </c>
      <c r="E476" s="152">
        <v>18000</v>
      </c>
      <c r="F476" s="152">
        <f>G476-E476</f>
        <v>-400</v>
      </c>
      <c r="G476" s="152">
        <v>17600</v>
      </c>
      <c r="H476" s="148">
        <f aca="true" t="shared" si="57" ref="H476:H492">G476/E476*100</f>
        <v>97.77777777777777</v>
      </c>
      <c r="I476" s="417">
        <f t="shared" si="56"/>
        <v>0.054965646470955656</v>
      </c>
      <c r="J476" s="6"/>
    </row>
    <row r="477" spans="1:10" ht="14.25" customHeight="1">
      <c r="A477" s="129"/>
      <c r="B477" s="52">
        <v>412000</v>
      </c>
      <c r="C477" s="66"/>
      <c r="D477" s="78" t="s">
        <v>119</v>
      </c>
      <c r="E477" s="183">
        <f>SUM(E478:E487)</f>
        <v>79645</v>
      </c>
      <c r="F477" s="183">
        <f>SUM(F478:F487)</f>
        <v>10195</v>
      </c>
      <c r="G477" s="183">
        <f>SUM(G478:G487)</f>
        <v>89840</v>
      </c>
      <c r="H477" s="145">
        <f t="shared" si="57"/>
        <v>112.80055245150355</v>
      </c>
      <c r="I477" s="181">
        <f t="shared" si="56"/>
        <v>0.2805746408494691</v>
      </c>
      <c r="J477" s="6"/>
    </row>
    <row r="478" spans="1:10" ht="24.75" customHeight="1">
      <c r="A478" s="129" t="s">
        <v>27</v>
      </c>
      <c r="B478" s="52"/>
      <c r="C478" s="66">
        <v>412200</v>
      </c>
      <c r="D478" s="88" t="s">
        <v>121</v>
      </c>
      <c r="E478" s="154">
        <v>57000</v>
      </c>
      <c r="F478" s="154">
        <f>G478-E478</f>
        <v>0</v>
      </c>
      <c r="G478" s="154">
        <v>57000</v>
      </c>
      <c r="H478" s="148">
        <f t="shared" si="57"/>
        <v>100</v>
      </c>
      <c r="I478" s="417">
        <f t="shared" si="56"/>
        <v>0.17801374141161774</v>
      </c>
      <c r="J478" s="6"/>
    </row>
    <row r="479" spans="1:10" ht="12.75">
      <c r="A479" s="129" t="s">
        <v>27</v>
      </c>
      <c r="B479" s="52"/>
      <c r="C479" s="66">
        <v>412300</v>
      </c>
      <c r="D479" s="132" t="s">
        <v>122</v>
      </c>
      <c r="E479" s="152">
        <v>3500</v>
      </c>
      <c r="F479" s="154">
        <f aca="true" t="shared" si="58" ref="F479:F487">G479-E479</f>
        <v>0</v>
      </c>
      <c r="G479" s="152">
        <v>3500</v>
      </c>
      <c r="H479" s="148">
        <f t="shared" si="57"/>
        <v>100</v>
      </c>
      <c r="I479" s="417">
        <f t="shared" si="56"/>
        <v>0.010930668332292318</v>
      </c>
      <c r="J479" s="6"/>
    </row>
    <row r="480" spans="1:10" ht="12.75">
      <c r="A480" s="129" t="s">
        <v>27</v>
      </c>
      <c r="B480" s="52"/>
      <c r="C480" s="66">
        <v>412400</v>
      </c>
      <c r="D480" s="88" t="s">
        <v>123</v>
      </c>
      <c r="E480" s="152">
        <v>4000</v>
      </c>
      <c r="F480" s="154">
        <f t="shared" si="58"/>
        <v>0</v>
      </c>
      <c r="G480" s="152">
        <v>4000</v>
      </c>
      <c r="H480" s="148">
        <f t="shared" si="57"/>
        <v>100</v>
      </c>
      <c r="I480" s="417">
        <f t="shared" si="56"/>
        <v>0.012492192379762648</v>
      </c>
      <c r="J480" s="6"/>
    </row>
    <row r="481" spans="1:10" ht="12.75">
      <c r="A481" s="129" t="s">
        <v>27</v>
      </c>
      <c r="B481" s="52"/>
      <c r="C481" s="66">
        <v>412500</v>
      </c>
      <c r="D481" s="132" t="s">
        <v>124</v>
      </c>
      <c r="E481" s="152">
        <v>5000</v>
      </c>
      <c r="F481" s="154">
        <f t="shared" si="58"/>
        <v>500</v>
      </c>
      <c r="G481" s="152">
        <v>5500</v>
      </c>
      <c r="H481" s="148">
        <f t="shared" si="57"/>
        <v>110.00000000000001</v>
      </c>
      <c r="I481" s="417">
        <f t="shared" si="56"/>
        <v>0.017176764522173642</v>
      </c>
      <c r="J481" s="6"/>
    </row>
    <row r="482" spans="1:10" ht="12.75">
      <c r="A482" s="129" t="s">
        <v>27</v>
      </c>
      <c r="B482" s="52"/>
      <c r="C482" s="66">
        <v>412500</v>
      </c>
      <c r="D482" s="132" t="s">
        <v>641</v>
      </c>
      <c r="E482" s="152">
        <v>1500</v>
      </c>
      <c r="F482" s="154">
        <f t="shared" si="58"/>
        <v>0</v>
      </c>
      <c r="G482" s="152">
        <v>1500</v>
      </c>
      <c r="H482" s="148">
        <f t="shared" si="57"/>
        <v>100</v>
      </c>
      <c r="I482" s="417">
        <f t="shared" si="56"/>
        <v>0.004684572142410993</v>
      </c>
      <c r="J482" s="6"/>
    </row>
    <row r="483" spans="1:10" ht="12.75">
      <c r="A483" s="129" t="s">
        <v>27</v>
      </c>
      <c r="B483" s="52"/>
      <c r="C483" s="66">
        <v>412600</v>
      </c>
      <c r="D483" s="132" t="s">
        <v>125</v>
      </c>
      <c r="E483" s="152">
        <v>2200</v>
      </c>
      <c r="F483" s="154">
        <f t="shared" si="58"/>
        <v>0</v>
      </c>
      <c r="G483" s="152">
        <v>2200</v>
      </c>
      <c r="H483" s="148">
        <f t="shared" si="57"/>
        <v>100</v>
      </c>
      <c r="I483" s="417">
        <f t="shared" si="56"/>
        <v>0.006870705808869457</v>
      </c>
      <c r="J483" s="6"/>
    </row>
    <row r="484" spans="1:10" ht="12.75">
      <c r="A484" s="129" t="s">
        <v>27</v>
      </c>
      <c r="B484" s="52"/>
      <c r="C484" s="132">
        <v>412700</v>
      </c>
      <c r="D484" s="132" t="s">
        <v>126</v>
      </c>
      <c r="E484" s="152">
        <v>3500</v>
      </c>
      <c r="F484" s="154">
        <f t="shared" si="58"/>
        <v>-200</v>
      </c>
      <c r="G484" s="152">
        <v>3300</v>
      </c>
      <c r="H484" s="148">
        <f t="shared" si="57"/>
        <v>94.28571428571428</v>
      </c>
      <c r="I484" s="417">
        <f t="shared" si="56"/>
        <v>0.010306058713304185</v>
      </c>
      <c r="J484" s="6"/>
    </row>
    <row r="485" spans="1:10" ht="12.75" customHeight="1" hidden="1">
      <c r="A485" s="129" t="s">
        <v>27</v>
      </c>
      <c r="B485" s="52"/>
      <c r="C485" s="132">
        <v>412700</v>
      </c>
      <c r="D485" s="132" t="s">
        <v>475</v>
      </c>
      <c r="E485" s="154"/>
      <c r="F485" s="154">
        <f t="shared" si="58"/>
        <v>0</v>
      </c>
      <c r="G485" s="154"/>
      <c r="H485" s="148" t="e">
        <f t="shared" si="57"/>
        <v>#DIV/0!</v>
      </c>
      <c r="I485" s="417">
        <f t="shared" si="56"/>
        <v>0</v>
      </c>
      <c r="J485" s="6"/>
    </row>
    <row r="486" spans="1:10" ht="15.75" customHeight="1">
      <c r="A486" s="129" t="s">
        <v>27</v>
      </c>
      <c r="B486" s="52"/>
      <c r="C486" s="132">
        <v>412900</v>
      </c>
      <c r="D486" s="132" t="s">
        <v>128</v>
      </c>
      <c r="E486" s="152">
        <v>2000</v>
      </c>
      <c r="F486" s="154">
        <f t="shared" si="58"/>
        <v>9895</v>
      </c>
      <c r="G486" s="152">
        <v>11895</v>
      </c>
      <c r="H486" s="148">
        <f t="shared" si="57"/>
        <v>594.75</v>
      </c>
      <c r="I486" s="417">
        <f t="shared" si="56"/>
        <v>0.03714865708931917</v>
      </c>
      <c r="J486" s="6"/>
    </row>
    <row r="487" spans="1:10" ht="15.75" customHeight="1">
      <c r="A487" s="129" t="s">
        <v>27</v>
      </c>
      <c r="B487" s="52"/>
      <c r="C487" s="132">
        <v>412900</v>
      </c>
      <c r="D487" s="132" t="s">
        <v>642</v>
      </c>
      <c r="E487" s="152">
        <v>945</v>
      </c>
      <c r="F487" s="154">
        <f t="shared" si="58"/>
        <v>0</v>
      </c>
      <c r="G487" s="152">
        <v>945</v>
      </c>
      <c r="H487" s="148">
        <f t="shared" si="57"/>
        <v>100</v>
      </c>
      <c r="I487" s="417">
        <f t="shared" si="56"/>
        <v>0.0029512804497189254</v>
      </c>
      <c r="J487" s="6"/>
    </row>
    <row r="488" spans="1:10" ht="14.25" customHeight="1">
      <c r="A488" s="129"/>
      <c r="B488" s="52">
        <v>511000</v>
      </c>
      <c r="C488" s="132"/>
      <c r="D488" s="143" t="s">
        <v>137</v>
      </c>
      <c r="E488" s="183">
        <f>SUM(E489:E489)</f>
        <v>1000</v>
      </c>
      <c r="F488" s="183">
        <f>SUM(F489:F489)</f>
        <v>0</v>
      </c>
      <c r="G488" s="183">
        <f>SUM(G489:G489)</f>
        <v>1000</v>
      </c>
      <c r="H488" s="145">
        <f t="shared" si="57"/>
        <v>100</v>
      </c>
      <c r="I488" s="181">
        <f t="shared" si="56"/>
        <v>0.003123048094940662</v>
      </c>
      <c r="J488" s="6"/>
    </row>
    <row r="489" spans="1:10" ht="12.75">
      <c r="A489" s="129" t="s">
        <v>27</v>
      </c>
      <c r="B489" s="132"/>
      <c r="C489" s="132">
        <v>511300</v>
      </c>
      <c r="D489" s="132" t="s">
        <v>2</v>
      </c>
      <c r="E489" s="152">
        <v>1000</v>
      </c>
      <c r="F489" s="152">
        <f>G489-E489</f>
        <v>0</v>
      </c>
      <c r="G489" s="152">
        <v>1000</v>
      </c>
      <c r="H489" s="148">
        <f t="shared" si="57"/>
        <v>100</v>
      </c>
      <c r="I489" s="417">
        <f t="shared" si="56"/>
        <v>0.003123048094940662</v>
      </c>
      <c r="J489" s="6"/>
    </row>
    <row r="490" spans="1:10" ht="17.25" customHeight="1">
      <c r="A490" s="136"/>
      <c r="B490" s="52">
        <v>516000</v>
      </c>
      <c r="C490" s="132"/>
      <c r="D490" s="143" t="s">
        <v>292</v>
      </c>
      <c r="E490" s="183">
        <f>SUM(E491)</f>
        <v>500</v>
      </c>
      <c r="F490" s="183">
        <f>SUM(F491)</f>
        <v>0</v>
      </c>
      <c r="G490" s="183">
        <f>SUM(G491)</f>
        <v>500</v>
      </c>
      <c r="H490" s="145">
        <f t="shared" si="57"/>
        <v>100</v>
      </c>
      <c r="I490" s="181">
        <f t="shared" si="56"/>
        <v>0.001561524047470331</v>
      </c>
      <c r="J490" s="6"/>
    </row>
    <row r="491" spans="1:10" ht="12.75">
      <c r="A491" s="129" t="s">
        <v>27</v>
      </c>
      <c r="B491" s="132"/>
      <c r="C491" s="132">
        <v>516100</v>
      </c>
      <c r="D491" s="88" t="s">
        <v>281</v>
      </c>
      <c r="E491" s="152">
        <v>500</v>
      </c>
      <c r="F491" s="152">
        <f>G491-E491</f>
        <v>0</v>
      </c>
      <c r="G491" s="152">
        <v>500</v>
      </c>
      <c r="H491" s="148">
        <f t="shared" si="57"/>
        <v>100</v>
      </c>
      <c r="I491" s="417">
        <f t="shared" si="56"/>
        <v>0.001561524047470331</v>
      </c>
      <c r="J491" s="6"/>
    </row>
    <row r="492" spans="1:10" ht="24.75" customHeight="1">
      <c r="A492" s="511"/>
      <c r="B492" s="512"/>
      <c r="C492" s="501" t="s">
        <v>87</v>
      </c>
      <c r="D492" s="501"/>
      <c r="E492" s="167">
        <f>E475+E477+E488+E490</f>
        <v>99145</v>
      </c>
      <c r="F492" s="167">
        <f>F475+F477+F488+F490</f>
        <v>9795</v>
      </c>
      <c r="G492" s="167">
        <f>G475+G477+G488+G490</f>
        <v>108940</v>
      </c>
      <c r="H492" s="382">
        <f t="shared" si="57"/>
        <v>109.8794694639165</v>
      </c>
      <c r="I492" s="358">
        <f t="shared" si="56"/>
        <v>0.34022485946283576</v>
      </c>
      <c r="J492" s="6"/>
    </row>
    <row r="493" spans="1:10" ht="9.75" customHeight="1">
      <c r="A493" s="511"/>
      <c r="B493" s="512"/>
      <c r="C493" s="503" t="s">
        <v>585</v>
      </c>
      <c r="D493" s="504"/>
      <c r="E493" s="197"/>
      <c r="F493" s="197"/>
      <c r="G493" s="197"/>
      <c r="H493" s="197"/>
      <c r="I493" s="198"/>
      <c r="J493" s="6"/>
    </row>
    <row r="494" spans="1:10" ht="30" customHeight="1">
      <c r="A494" s="511"/>
      <c r="B494" s="512"/>
      <c r="C494" s="504"/>
      <c r="D494" s="504"/>
      <c r="E494" s="201"/>
      <c r="F494" s="201"/>
      <c r="G494" s="201"/>
      <c r="H494" s="201"/>
      <c r="I494" s="202"/>
      <c r="J494" s="6"/>
    </row>
    <row r="495" spans="1:10" ht="14.25" customHeight="1">
      <c r="A495" s="222"/>
      <c r="B495" s="52">
        <v>411000</v>
      </c>
      <c r="C495" s="46"/>
      <c r="D495" s="78" t="s">
        <v>321</v>
      </c>
      <c r="E495" s="145">
        <f>SUM(E496)</f>
        <v>46240</v>
      </c>
      <c r="F495" s="145">
        <f>SUM(F496)</f>
        <v>-5245</v>
      </c>
      <c r="G495" s="145">
        <f>SUM(G496)</f>
        <v>40995</v>
      </c>
      <c r="H495" s="145">
        <f>G495/E495*100</f>
        <v>88.65700692041523</v>
      </c>
      <c r="I495" s="181">
        <f aca="true" t="shared" si="59" ref="I495:I516">G495/$G$611*100</f>
        <v>0.12802935665209245</v>
      </c>
      <c r="J495" s="6"/>
    </row>
    <row r="496" spans="1:10" ht="24" customHeight="1">
      <c r="A496" s="129" t="s">
        <v>52</v>
      </c>
      <c r="B496" s="132"/>
      <c r="C496" s="66">
        <v>411200</v>
      </c>
      <c r="D496" s="72" t="s">
        <v>322</v>
      </c>
      <c r="E496" s="152">
        <v>46240</v>
      </c>
      <c r="F496" s="152">
        <f>G496-E496</f>
        <v>-5245</v>
      </c>
      <c r="G496" s="152">
        <v>40995</v>
      </c>
      <c r="H496" s="148">
        <f aca="true" t="shared" si="60" ref="H496:H516">G496/E496*100</f>
        <v>88.65700692041523</v>
      </c>
      <c r="I496" s="417">
        <f t="shared" si="59"/>
        <v>0.12802935665209245</v>
      </c>
      <c r="J496" s="6"/>
    </row>
    <row r="497" spans="1:10" ht="14.25" customHeight="1">
      <c r="A497" s="222"/>
      <c r="B497" s="52">
        <v>412000</v>
      </c>
      <c r="C497" s="66"/>
      <c r="D497" s="78" t="s">
        <v>119</v>
      </c>
      <c r="E497" s="183">
        <f>SUM(E498:E506)</f>
        <v>55556.02</v>
      </c>
      <c r="F497" s="183">
        <f>SUM(F498:F506)</f>
        <v>13600</v>
      </c>
      <c r="G497" s="183">
        <f>SUM(G498:G506)</f>
        <v>69156.02</v>
      </c>
      <c r="H497" s="145">
        <f t="shared" si="60"/>
        <v>124.4797953489109</v>
      </c>
      <c r="I497" s="181">
        <f t="shared" si="59"/>
        <v>0.21597757651467833</v>
      </c>
      <c r="J497" s="6"/>
    </row>
    <row r="498" spans="1:10" ht="25.5">
      <c r="A498" s="129" t="s">
        <v>52</v>
      </c>
      <c r="B498" s="52"/>
      <c r="C498" s="66">
        <v>412200</v>
      </c>
      <c r="D498" s="88" t="s">
        <v>121</v>
      </c>
      <c r="E498" s="152">
        <v>21000</v>
      </c>
      <c r="F498" s="152">
        <f>G498-E498</f>
        <v>0</v>
      </c>
      <c r="G498" s="152">
        <v>21000</v>
      </c>
      <c r="H498" s="148">
        <f t="shared" si="60"/>
        <v>100</v>
      </c>
      <c r="I498" s="417">
        <f t="shared" si="59"/>
        <v>0.0655840099937539</v>
      </c>
      <c r="J498" s="6"/>
    </row>
    <row r="499" spans="1:10" ht="12.75">
      <c r="A499" s="129" t="s">
        <v>52</v>
      </c>
      <c r="B499" s="52"/>
      <c r="C499" s="66">
        <v>412300</v>
      </c>
      <c r="D499" s="132" t="s">
        <v>122</v>
      </c>
      <c r="E499" s="152">
        <v>3000</v>
      </c>
      <c r="F499" s="152">
        <f aca="true" t="shared" si="61" ref="F499:F510">G499-E499</f>
        <v>0</v>
      </c>
      <c r="G499" s="152">
        <v>3000</v>
      </c>
      <c r="H499" s="148">
        <f t="shared" si="60"/>
        <v>100</v>
      </c>
      <c r="I499" s="417">
        <f t="shared" si="59"/>
        <v>0.009369144284821987</v>
      </c>
      <c r="J499" s="6"/>
    </row>
    <row r="500" spans="1:10" ht="12.75">
      <c r="A500" s="129" t="s">
        <v>52</v>
      </c>
      <c r="B500" s="52"/>
      <c r="C500" s="66">
        <v>412400</v>
      </c>
      <c r="D500" s="88" t="s">
        <v>123</v>
      </c>
      <c r="E500" s="152">
        <v>9660</v>
      </c>
      <c r="F500" s="152">
        <f t="shared" si="61"/>
        <v>0</v>
      </c>
      <c r="G500" s="152">
        <v>9660</v>
      </c>
      <c r="H500" s="148">
        <f t="shared" si="60"/>
        <v>100</v>
      </c>
      <c r="I500" s="417">
        <f t="shared" si="59"/>
        <v>0.030168644597126794</v>
      </c>
      <c r="J500" s="6"/>
    </row>
    <row r="501" spans="1:10" ht="12.75">
      <c r="A501" s="129" t="s">
        <v>52</v>
      </c>
      <c r="B501" s="52"/>
      <c r="C501" s="66">
        <v>412500</v>
      </c>
      <c r="D501" s="132" t="s">
        <v>124</v>
      </c>
      <c r="E501" s="152">
        <v>5000</v>
      </c>
      <c r="F501" s="152">
        <f t="shared" si="61"/>
        <v>0</v>
      </c>
      <c r="G501" s="152">
        <v>5000</v>
      </c>
      <c r="H501" s="148">
        <f t="shared" si="60"/>
        <v>100</v>
      </c>
      <c r="I501" s="417">
        <f t="shared" si="59"/>
        <v>0.01561524047470331</v>
      </c>
      <c r="J501" s="6"/>
    </row>
    <row r="502" spans="1:10" ht="12.75">
      <c r="A502" s="129" t="s">
        <v>52</v>
      </c>
      <c r="B502" s="52"/>
      <c r="C502" s="66">
        <v>412600</v>
      </c>
      <c r="D502" s="132" t="s">
        <v>125</v>
      </c>
      <c r="E502" s="152">
        <v>1500</v>
      </c>
      <c r="F502" s="152">
        <f t="shared" si="61"/>
        <v>0</v>
      </c>
      <c r="G502" s="152">
        <v>1500</v>
      </c>
      <c r="H502" s="148">
        <f t="shared" si="60"/>
        <v>100</v>
      </c>
      <c r="I502" s="417">
        <f t="shared" si="59"/>
        <v>0.004684572142410993</v>
      </c>
      <c r="J502" s="6"/>
    </row>
    <row r="503" spans="1:10" ht="12.75">
      <c r="A503" s="129" t="s">
        <v>52</v>
      </c>
      <c r="B503" s="52"/>
      <c r="C503" s="132">
        <v>412700</v>
      </c>
      <c r="D503" s="132" t="s">
        <v>126</v>
      </c>
      <c r="E503" s="154">
        <v>9000</v>
      </c>
      <c r="F503" s="152">
        <f t="shared" si="61"/>
        <v>0</v>
      </c>
      <c r="G503" s="154">
        <v>9000</v>
      </c>
      <c r="H503" s="148">
        <f t="shared" si="60"/>
        <v>100</v>
      </c>
      <c r="I503" s="417">
        <f t="shared" si="59"/>
        <v>0.02810743285446596</v>
      </c>
      <c r="J503" s="6"/>
    </row>
    <row r="504" spans="1:10" ht="12.75">
      <c r="A504" s="129" t="s">
        <v>52</v>
      </c>
      <c r="B504" s="52"/>
      <c r="C504" s="132">
        <v>412900</v>
      </c>
      <c r="D504" s="132" t="s">
        <v>128</v>
      </c>
      <c r="E504" s="152">
        <v>4000</v>
      </c>
      <c r="F504" s="152">
        <f t="shared" si="61"/>
        <v>13600</v>
      </c>
      <c r="G504" s="152">
        <v>17600</v>
      </c>
      <c r="H504" s="148">
        <f t="shared" si="60"/>
        <v>440.00000000000006</v>
      </c>
      <c r="I504" s="417">
        <f t="shared" si="59"/>
        <v>0.054965646470955656</v>
      </c>
      <c r="J504" s="6"/>
    </row>
    <row r="505" spans="1:10" ht="25.5">
      <c r="A505" s="129" t="s">
        <v>52</v>
      </c>
      <c r="B505" s="52"/>
      <c r="C505" s="132">
        <v>412900</v>
      </c>
      <c r="D505" s="88" t="s">
        <v>658</v>
      </c>
      <c r="E505" s="152">
        <v>400</v>
      </c>
      <c r="F505" s="152">
        <f t="shared" si="61"/>
        <v>0</v>
      </c>
      <c r="G505" s="152">
        <v>400</v>
      </c>
      <c r="H505" s="148">
        <f t="shared" si="60"/>
        <v>100</v>
      </c>
      <c r="I505" s="417">
        <f t="shared" si="59"/>
        <v>0.0012492192379762648</v>
      </c>
      <c r="J505" s="6"/>
    </row>
    <row r="506" spans="1:10" ht="12" customHeight="1">
      <c r="A506" s="129" t="s">
        <v>52</v>
      </c>
      <c r="B506" s="52"/>
      <c r="C506" s="132">
        <v>412900</v>
      </c>
      <c r="D506" s="132" t="s">
        <v>640</v>
      </c>
      <c r="E506" s="152">
        <v>1996.02</v>
      </c>
      <c r="F506" s="152">
        <f t="shared" si="61"/>
        <v>0</v>
      </c>
      <c r="G506" s="152">
        <v>1996.02</v>
      </c>
      <c r="H506" s="148">
        <f t="shared" si="60"/>
        <v>100</v>
      </c>
      <c r="I506" s="417">
        <f t="shared" si="59"/>
        <v>0.0062336664584634605</v>
      </c>
      <c r="J506" s="6"/>
    </row>
    <row r="507" spans="1:10" ht="18.75" customHeight="1">
      <c r="A507" s="129"/>
      <c r="B507" s="52">
        <v>416100</v>
      </c>
      <c r="C507" s="132"/>
      <c r="D507" s="404" t="s">
        <v>650</v>
      </c>
      <c r="E507" s="238">
        <f>E508</f>
        <v>14580</v>
      </c>
      <c r="F507" s="238">
        <f>F508</f>
        <v>20000</v>
      </c>
      <c r="G507" s="238">
        <f>G508</f>
        <v>34580</v>
      </c>
      <c r="H507" s="238">
        <f t="shared" si="60"/>
        <v>237.1742112482853</v>
      </c>
      <c r="I507" s="430">
        <f t="shared" si="59"/>
        <v>0.10799500312304809</v>
      </c>
      <c r="J507" s="6"/>
    </row>
    <row r="508" spans="1:10" ht="24.75" customHeight="1">
      <c r="A508" s="129" t="s">
        <v>52</v>
      </c>
      <c r="B508" s="52"/>
      <c r="C508" s="132">
        <v>416100</v>
      </c>
      <c r="D508" s="88" t="s">
        <v>651</v>
      </c>
      <c r="E508" s="152">
        <v>14580</v>
      </c>
      <c r="F508" s="152">
        <f>G508-E508</f>
        <v>20000</v>
      </c>
      <c r="G508" s="152">
        <v>34580</v>
      </c>
      <c r="H508" s="148">
        <f t="shared" si="60"/>
        <v>237.1742112482853</v>
      </c>
      <c r="I508" s="417">
        <f t="shared" si="59"/>
        <v>0.10799500312304809</v>
      </c>
      <c r="J508" s="6"/>
    </row>
    <row r="509" spans="1:10" ht="13.5" customHeight="1" hidden="1">
      <c r="A509" s="129"/>
      <c r="B509" s="52">
        <v>419100</v>
      </c>
      <c r="C509" s="132"/>
      <c r="D509" s="155" t="s">
        <v>346</v>
      </c>
      <c r="E509" s="238"/>
      <c r="F509" s="152">
        <f t="shared" si="61"/>
        <v>0</v>
      </c>
      <c r="G509" s="238"/>
      <c r="H509" s="145" t="e">
        <f t="shared" si="60"/>
        <v>#DIV/0!</v>
      </c>
      <c r="I509" s="181">
        <f t="shared" si="59"/>
        <v>0</v>
      </c>
      <c r="J509" s="6"/>
    </row>
    <row r="510" spans="1:10" ht="15" customHeight="1" hidden="1">
      <c r="A510" s="129" t="s">
        <v>52</v>
      </c>
      <c r="B510" s="52"/>
      <c r="C510" s="132">
        <v>419100</v>
      </c>
      <c r="D510" s="132" t="s">
        <v>346</v>
      </c>
      <c r="E510" s="152"/>
      <c r="F510" s="152">
        <f t="shared" si="61"/>
        <v>0</v>
      </c>
      <c r="G510" s="152"/>
      <c r="H510" s="145" t="e">
        <f t="shared" si="60"/>
        <v>#DIV/0!</v>
      </c>
      <c r="I510" s="181">
        <f t="shared" si="59"/>
        <v>0</v>
      </c>
      <c r="J510" s="6"/>
    </row>
    <row r="511" spans="1:10" ht="14.25" customHeight="1">
      <c r="A511" s="129"/>
      <c r="B511" s="52">
        <v>511000</v>
      </c>
      <c r="C511" s="66"/>
      <c r="D511" s="143" t="s">
        <v>137</v>
      </c>
      <c r="E511" s="183">
        <f>SUM(E512:E513)</f>
        <v>30000</v>
      </c>
      <c r="F511" s="183">
        <f>SUM(F512:F513)</f>
        <v>0</v>
      </c>
      <c r="G511" s="183">
        <f>SUM(G512:G513)</f>
        <v>30000</v>
      </c>
      <c r="H511" s="145">
        <f t="shared" si="60"/>
        <v>100</v>
      </c>
      <c r="I511" s="181">
        <f t="shared" si="59"/>
        <v>0.09369144284821987</v>
      </c>
      <c r="J511" s="6"/>
    </row>
    <row r="512" spans="1:10" ht="47.25" customHeight="1">
      <c r="A512" s="129" t="s">
        <v>52</v>
      </c>
      <c r="B512" s="52"/>
      <c r="C512" s="66">
        <v>511200</v>
      </c>
      <c r="D512" s="88" t="s">
        <v>710</v>
      </c>
      <c r="E512" s="152">
        <v>25000</v>
      </c>
      <c r="F512" s="152">
        <f>G512-E512</f>
        <v>0</v>
      </c>
      <c r="G512" s="152">
        <v>25000</v>
      </c>
      <c r="H512" s="148">
        <f t="shared" si="60"/>
        <v>100</v>
      </c>
      <c r="I512" s="417">
        <f t="shared" si="59"/>
        <v>0.07807620237351655</v>
      </c>
      <c r="J512" s="6"/>
    </row>
    <row r="513" spans="1:10" ht="15.75" customHeight="1">
      <c r="A513" s="129" t="s">
        <v>52</v>
      </c>
      <c r="B513" s="132"/>
      <c r="C513" s="66">
        <v>511300</v>
      </c>
      <c r="D513" s="132" t="s">
        <v>2</v>
      </c>
      <c r="E513" s="152">
        <v>5000</v>
      </c>
      <c r="F513" s="152">
        <f>G513-E513</f>
        <v>0</v>
      </c>
      <c r="G513" s="152">
        <v>5000</v>
      </c>
      <c r="H513" s="148">
        <f t="shared" si="60"/>
        <v>100</v>
      </c>
      <c r="I513" s="417">
        <f t="shared" si="59"/>
        <v>0.01561524047470331</v>
      </c>
      <c r="J513" s="6"/>
    </row>
    <row r="514" spans="1:10" ht="20.25" customHeight="1">
      <c r="A514" s="129"/>
      <c r="B514" s="52">
        <v>516000</v>
      </c>
      <c r="C514" s="66"/>
      <c r="D514" s="143" t="s">
        <v>292</v>
      </c>
      <c r="E514" s="183">
        <f>SUM(E515)</f>
        <v>500</v>
      </c>
      <c r="F514" s="183">
        <f>SUM(F515)</f>
        <v>0</v>
      </c>
      <c r="G514" s="183">
        <f>SUM(G515)</f>
        <v>500</v>
      </c>
      <c r="H514" s="145">
        <f t="shared" si="60"/>
        <v>100</v>
      </c>
      <c r="I514" s="181">
        <f t="shared" si="59"/>
        <v>0.001561524047470331</v>
      </c>
      <c r="J514" s="6"/>
    </row>
    <row r="515" spans="1:10" ht="14.25" customHeight="1">
      <c r="A515" s="129" t="s">
        <v>52</v>
      </c>
      <c r="B515" s="132"/>
      <c r="C515" s="66">
        <v>516100</v>
      </c>
      <c r="D515" s="88" t="s">
        <v>281</v>
      </c>
      <c r="E515" s="152">
        <v>500</v>
      </c>
      <c r="F515" s="152">
        <f>G515-E515</f>
        <v>0</v>
      </c>
      <c r="G515" s="152">
        <v>500</v>
      </c>
      <c r="H515" s="148">
        <f t="shared" si="60"/>
        <v>100</v>
      </c>
      <c r="I515" s="417">
        <f t="shared" si="59"/>
        <v>0.001561524047470331</v>
      </c>
      <c r="J515" s="6"/>
    </row>
    <row r="516" spans="1:10" ht="21.75" customHeight="1">
      <c r="A516" s="511"/>
      <c r="B516" s="512"/>
      <c r="C516" s="501" t="s">
        <v>88</v>
      </c>
      <c r="D516" s="505"/>
      <c r="E516" s="167">
        <f>E495+E497+E507+E511+E509+E514</f>
        <v>146876.02</v>
      </c>
      <c r="F516" s="167">
        <f>F495+F497+F507+F511+F509+F514</f>
        <v>28355</v>
      </c>
      <c r="G516" s="167">
        <f>G495+G497+G507+G511+G509+G514</f>
        <v>175231.02000000002</v>
      </c>
      <c r="H516" s="382">
        <f t="shared" si="60"/>
        <v>119.3053978450669</v>
      </c>
      <c r="I516" s="358">
        <f t="shared" si="59"/>
        <v>0.5472549031855091</v>
      </c>
      <c r="J516" s="6"/>
    </row>
    <row r="517" spans="1:10" ht="9.75" customHeight="1">
      <c r="A517" s="509"/>
      <c r="B517" s="510"/>
      <c r="C517" s="503" t="s">
        <v>586</v>
      </c>
      <c r="D517" s="504"/>
      <c r="E517" s="199"/>
      <c r="F517" s="199"/>
      <c r="G517" s="199"/>
      <c r="H517" s="199"/>
      <c r="I517" s="200"/>
      <c r="J517" s="6"/>
    </row>
    <row r="518" spans="1:10" ht="30" customHeight="1">
      <c r="A518" s="511"/>
      <c r="B518" s="512"/>
      <c r="C518" s="504"/>
      <c r="D518" s="504"/>
      <c r="E518" s="201"/>
      <c r="F518" s="201"/>
      <c r="G518" s="201"/>
      <c r="H518" s="201"/>
      <c r="I518" s="202"/>
      <c r="J518" s="6"/>
    </row>
    <row r="519" spans="1:10" ht="14.25" customHeight="1">
      <c r="A519" s="129"/>
      <c r="B519" s="52">
        <v>411000</v>
      </c>
      <c r="C519" s="132"/>
      <c r="D519" s="71" t="s">
        <v>321</v>
      </c>
      <c r="E519" s="144">
        <f>SUM(E520:E523)</f>
        <v>209000</v>
      </c>
      <c r="F519" s="144">
        <f>SUM(F520:F523)</f>
        <v>-11900</v>
      </c>
      <c r="G519" s="144">
        <f>SUM(G520:G523)</f>
        <v>197100</v>
      </c>
      <c r="H519" s="145">
        <f>G519/E519*100</f>
        <v>94.30622009569379</v>
      </c>
      <c r="I519" s="181">
        <f aca="true" t="shared" si="62" ref="I519:I541">G519/$G$611*100</f>
        <v>0.6155527795128045</v>
      </c>
      <c r="J519" s="6"/>
    </row>
    <row r="520" spans="1:10" ht="12.75">
      <c r="A520" s="129" t="s">
        <v>31</v>
      </c>
      <c r="B520" s="132"/>
      <c r="C520" s="66">
        <v>411100</v>
      </c>
      <c r="D520" s="72" t="s">
        <v>317</v>
      </c>
      <c r="E520" s="152">
        <v>160000</v>
      </c>
      <c r="F520" s="152">
        <f>G520-E520</f>
        <v>-8400</v>
      </c>
      <c r="G520" s="152">
        <v>151600</v>
      </c>
      <c r="H520" s="148">
        <f aca="true" t="shared" si="63" ref="H520:H541">G520/E520*100</f>
        <v>94.75</v>
      </c>
      <c r="I520" s="417">
        <f t="shared" si="62"/>
        <v>0.47345409119300436</v>
      </c>
      <c r="J520" s="6"/>
    </row>
    <row r="521" spans="1:10" ht="25.5">
      <c r="A521" s="129" t="s">
        <v>31</v>
      </c>
      <c r="B521" s="132"/>
      <c r="C521" s="66">
        <v>411200</v>
      </c>
      <c r="D521" s="72" t="s">
        <v>322</v>
      </c>
      <c r="E521" s="152">
        <v>45000</v>
      </c>
      <c r="F521" s="152">
        <f>G521-E521</f>
        <v>-3500</v>
      </c>
      <c r="G521" s="152">
        <v>41500</v>
      </c>
      <c r="H521" s="148">
        <f t="shared" si="63"/>
        <v>92.22222222222223</v>
      </c>
      <c r="I521" s="417">
        <f t="shared" si="62"/>
        <v>0.12960649594003748</v>
      </c>
      <c r="J521" s="6"/>
    </row>
    <row r="522" spans="1:10" ht="25.5" customHeight="1">
      <c r="A522" s="129" t="s">
        <v>31</v>
      </c>
      <c r="B522" s="132"/>
      <c r="C522" s="66">
        <v>411300</v>
      </c>
      <c r="D522" s="72" t="s">
        <v>404</v>
      </c>
      <c r="E522" s="152">
        <v>2000</v>
      </c>
      <c r="F522" s="152">
        <f>G522-E522</f>
        <v>0</v>
      </c>
      <c r="G522" s="152">
        <v>2000</v>
      </c>
      <c r="H522" s="148">
        <f t="shared" si="63"/>
        <v>100</v>
      </c>
      <c r="I522" s="417">
        <f t="shared" si="62"/>
        <v>0.006246096189881324</v>
      </c>
      <c r="J522" s="6"/>
    </row>
    <row r="523" spans="1:10" ht="12.75">
      <c r="A523" s="129" t="s">
        <v>31</v>
      </c>
      <c r="B523" s="132"/>
      <c r="C523" s="66">
        <v>411400</v>
      </c>
      <c r="D523" s="73" t="s">
        <v>318</v>
      </c>
      <c r="E523" s="152">
        <v>2000</v>
      </c>
      <c r="F523" s="152">
        <f>G523-E523</f>
        <v>0</v>
      </c>
      <c r="G523" s="152">
        <v>2000</v>
      </c>
      <c r="H523" s="148">
        <f t="shared" si="63"/>
        <v>100</v>
      </c>
      <c r="I523" s="417">
        <f t="shared" si="62"/>
        <v>0.006246096189881324</v>
      </c>
      <c r="J523" s="6"/>
    </row>
    <row r="524" spans="1:10" ht="14.25" customHeight="1">
      <c r="A524" s="129"/>
      <c r="B524" s="52">
        <v>412000</v>
      </c>
      <c r="C524" s="66"/>
      <c r="D524" s="143" t="s">
        <v>119</v>
      </c>
      <c r="E524" s="183">
        <f>SUM(E525:E533)</f>
        <v>48900</v>
      </c>
      <c r="F524" s="183">
        <f>SUM(F525:F533)</f>
        <v>8200</v>
      </c>
      <c r="G524" s="183">
        <f>SUM(G525:G533)</f>
        <v>57100</v>
      </c>
      <c r="H524" s="145">
        <f t="shared" si="63"/>
        <v>116.76891615541922</v>
      </c>
      <c r="I524" s="181">
        <f t="shared" si="62"/>
        <v>0.17832604622111178</v>
      </c>
      <c r="J524" s="6"/>
    </row>
    <row r="525" spans="1:10" ht="14.25" customHeight="1">
      <c r="A525" s="129" t="s">
        <v>31</v>
      </c>
      <c r="B525" s="52"/>
      <c r="C525" s="66">
        <v>412100</v>
      </c>
      <c r="D525" s="88" t="s">
        <v>415</v>
      </c>
      <c r="E525" s="154">
        <v>6700</v>
      </c>
      <c r="F525" s="154">
        <f>G525-E525</f>
        <v>0</v>
      </c>
      <c r="G525" s="154">
        <v>6700</v>
      </c>
      <c r="H525" s="148">
        <f t="shared" si="63"/>
        <v>100</v>
      </c>
      <c r="I525" s="417">
        <f t="shared" si="62"/>
        <v>0.020924422236102438</v>
      </c>
      <c r="J525" s="6"/>
    </row>
    <row r="526" spans="1:10" ht="25.5">
      <c r="A526" s="129" t="s">
        <v>31</v>
      </c>
      <c r="B526" s="52"/>
      <c r="C526" s="66">
        <v>412200</v>
      </c>
      <c r="D526" s="88" t="s">
        <v>121</v>
      </c>
      <c r="E526" s="152">
        <v>16000</v>
      </c>
      <c r="F526" s="154">
        <f aca="true" t="shared" si="64" ref="F526:F533">G526-E526</f>
        <v>0</v>
      </c>
      <c r="G526" s="152">
        <v>16000</v>
      </c>
      <c r="H526" s="148">
        <f t="shared" si="63"/>
        <v>100</v>
      </c>
      <c r="I526" s="417">
        <f t="shared" si="62"/>
        <v>0.04996876951905059</v>
      </c>
      <c r="J526" s="6"/>
    </row>
    <row r="527" spans="1:10" ht="12.75">
      <c r="A527" s="129" t="s">
        <v>31</v>
      </c>
      <c r="B527" s="52"/>
      <c r="C527" s="66">
        <v>412300</v>
      </c>
      <c r="D527" s="132" t="s">
        <v>122</v>
      </c>
      <c r="E527" s="152">
        <v>2000</v>
      </c>
      <c r="F527" s="154">
        <f t="shared" si="64"/>
        <v>0</v>
      </c>
      <c r="G527" s="152">
        <v>2000</v>
      </c>
      <c r="H527" s="148">
        <f t="shared" si="63"/>
        <v>100</v>
      </c>
      <c r="I527" s="417">
        <f t="shared" si="62"/>
        <v>0.006246096189881324</v>
      </c>
      <c r="J527" s="6"/>
    </row>
    <row r="528" spans="1:10" ht="12.75">
      <c r="A528" s="129" t="s">
        <v>31</v>
      </c>
      <c r="B528" s="52"/>
      <c r="C528" s="66">
        <v>412500</v>
      </c>
      <c r="D528" s="132" t="s">
        <v>124</v>
      </c>
      <c r="E528" s="152">
        <v>2000</v>
      </c>
      <c r="F528" s="154">
        <f t="shared" si="64"/>
        <v>4300</v>
      </c>
      <c r="G528" s="152">
        <v>6300</v>
      </c>
      <c r="H528" s="148">
        <f t="shared" si="63"/>
        <v>315</v>
      </c>
      <c r="I528" s="417">
        <f t="shared" si="62"/>
        <v>0.01967520299812617</v>
      </c>
      <c r="J528" s="6"/>
    </row>
    <row r="529" spans="1:10" ht="12.75">
      <c r="A529" s="129" t="s">
        <v>31</v>
      </c>
      <c r="B529" s="52"/>
      <c r="C529" s="66">
        <v>412600</v>
      </c>
      <c r="D529" s="132" t="s">
        <v>125</v>
      </c>
      <c r="E529" s="152">
        <v>200</v>
      </c>
      <c r="F529" s="154">
        <f t="shared" si="64"/>
        <v>-200</v>
      </c>
      <c r="G529" s="152">
        <v>0</v>
      </c>
      <c r="H529" s="148">
        <f t="shared" si="63"/>
        <v>0</v>
      </c>
      <c r="I529" s="417">
        <f t="shared" si="62"/>
        <v>0</v>
      </c>
      <c r="J529" s="6"/>
    </row>
    <row r="530" spans="1:10" ht="12.75" customHeight="1">
      <c r="A530" s="129" t="s">
        <v>31</v>
      </c>
      <c r="B530" s="52"/>
      <c r="C530" s="132">
        <v>412700</v>
      </c>
      <c r="D530" s="132" t="s">
        <v>169</v>
      </c>
      <c r="E530" s="154">
        <v>10000</v>
      </c>
      <c r="F530" s="154">
        <f t="shared" si="64"/>
        <v>2100</v>
      </c>
      <c r="G530" s="154">
        <v>12100</v>
      </c>
      <c r="H530" s="148">
        <f t="shared" si="63"/>
        <v>121</v>
      </c>
      <c r="I530" s="417">
        <f t="shared" si="62"/>
        <v>0.03778888194878201</v>
      </c>
      <c r="J530" s="6"/>
    </row>
    <row r="531" spans="1:10" ht="15" customHeight="1" hidden="1">
      <c r="A531" s="129" t="s">
        <v>31</v>
      </c>
      <c r="B531" s="52"/>
      <c r="C531" s="132">
        <v>412700</v>
      </c>
      <c r="D531" s="88" t="s">
        <v>476</v>
      </c>
      <c r="E531" s="154"/>
      <c r="F531" s="154">
        <f t="shared" si="64"/>
        <v>0</v>
      </c>
      <c r="G531" s="154"/>
      <c r="H531" s="148" t="e">
        <f t="shared" si="63"/>
        <v>#DIV/0!</v>
      </c>
      <c r="I531" s="417">
        <f t="shared" si="62"/>
        <v>0</v>
      </c>
      <c r="J531" s="6"/>
    </row>
    <row r="532" spans="1:10" ht="14.25" customHeight="1">
      <c r="A532" s="129" t="s">
        <v>31</v>
      </c>
      <c r="B532" s="52"/>
      <c r="C532" s="132">
        <v>412700</v>
      </c>
      <c r="D532" s="88" t="s">
        <v>173</v>
      </c>
      <c r="E532" s="154">
        <v>6000</v>
      </c>
      <c r="F532" s="154">
        <f t="shared" si="64"/>
        <v>0</v>
      </c>
      <c r="G532" s="154">
        <v>6000</v>
      </c>
      <c r="H532" s="148">
        <f t="shared" si="63"/>
        <v>100</v>
      </c>
      <c r="I532" s="417">
        <f t="shared" si="62"/>
        <v>0.018738288569643973</v>
      </c>
      <c r="J532" s="6"/>
    </row>
    <row r="533" spans="1:10" ht="12" customHeight="1">
      <c r="A533" s="129" t="s">
        <v>31</v>
      </c>
      <c r="B533" s="52"/>
      <c r="C533" s="132">
        <v>412900</v>
      </c>
      <c r="D533" s="88" t="s">
        <v>128</v>
      </c>
      <c r="E533" s="324">
        <v>6000</v>
      </c>
      <c r="F533" s="154">
        <f t="shared" si="64"/>
        <v>2000</v>
      </c>
      <c r="G533" s="324">
        <v>8000</v>
      </c>
      <c r="H533" s="148">
        <f t="shared" si="63"/>
        <v>133.33333333333331</v>
      </c>
      <c r="I533" s="417">
        <f t="shared" si="62"/>
        <v>0.024984384759525295</v>
      </c>
      <c r="J533" s="6"/>
    </row>
    <row r="534" spans="1:10" ht="11.25" customHeight="1">
      <c r="A534" s="129"/>
      <c r="B534" s="52">
        <v>511000</v>
      </c>
      <c r="C534" s="132"/>
      <c r="D534" s="143" t="s">
        <v>137</v>
      </c>
      <c r="E534" s="183">
        <f>SUM(E535:E536)</f>
        <v>7883</v>
      </c>
      <c r="F534" s="183">
        <f>SUM(F535:F536)</f>
        <v>-415.52000000000044</v>
      </c>
      <c r="G534" s="183">
        <f>SUM(G535:G536)</f>
        <v>7467.48</v>
      </c>
      <c r="H534" s="145">
        <f t="shared" si="63"/>
        <v>94.72891031333248</v>
      </c>
      <c r="I534" s="181">
        <f t="shared" si="62"/>
        <v>0.02332129918800749</v>
      </c>
      <c r="J534" s="6"/>
    </row>
    <row r="535" spans="1:10" ht="15" customHeight="1" hidden="1">
      <c r="A535" s="129" t="s">
        <v>31</v>
      </c>
      <c r="B535" s="132"/>
      <c r="C535" s="66">
        <v>511200</v>
      </c>
      <c r="D535" s="88" t="s">
        <v>148</v>
      </c>
      <c r="E535" s="154"/>
      <c r="F535" s="154"/>
      <c r="G535" s="154"/>
      <c r="H535" s="145" t="e">
        <f t="shared" si="63"/>
        <v>#DIV/0!</v>
      </c>
      <c r="I535" s="181">
        <f t="shared" si="62"/>
        <v>0</v>
      </c>
      <c r="J535" s="6"/>
    </row>
    <row r="536" spans="1:10" ht="12" customHeight="1">
      <c r="A536" s="129" t="s">
        <v>31</v>
      </c>
      <c r="B536" s="132"/>
      <c r="C536" s="66">
        <v>511300</v>
      </c>
      <c r="D536" s="88" t="s">
        <v>2</v>
      </c>
      <c r="E536" s="154">
        <v>7883</v>
      </c>
      <c r="F536" s="154">
        <f>G536-E536</f>
        <v>-415.52000000000044</v>
      </c>
      <c r="G536" s="154">
        <v>7467.48</v>
      </c>
      <c r="H536" s="148">
        <f t="shared" si="63"/>
        <v>94.72891031333248</v>
      </c>
      <c r="I536" s="417">
        <f t="shared" si="62"/>
        <v>0.02332129918800749</v>
      </c>
      <c r="J536" s="6"/>
    </row>
    <row r="537" spans="1:10" ht="24.75" customHeight="1">
      <c r="A537" s="129"/>
      <c r="B537" s="52">
        <v>516000</v>
      </c>
      <c r="C537" s="132"/>
      <c r="D537" s="143" t="s">
        <v>292</v>
      </c>
      <c r="E537" s="183">
        <f>SUM(E538:E538)</f>
        <v>38417</v>
      </c>
      <c r="F537" s="183">
        <f>SUM(F538:F538)</f>
        <v>4115.519999999997</v>
      </c>
      <c r="G537" s="183">
        <f>SUM(G538:G538)</f>
        <v>42532.52</v>
      </c>
      <c r="H537" s="145">
        <f t="shared" si="63"/>
        <v>110.71275737303796</v>
      </c>
      <c r="I537" s="181">
        <f t="shared" si="62"/>
        <v>0.13283110555902558</v>
      </c>
      <c r="J537" s="6"/>
    </row>
    <row r="538" spans="1:10" ht="15.75" customHeight="1">
      <c r="A538" s="129" t="s">
        <v>31</v>
      </c>
      <c r="B538" s="52"/>
      <c r="C538" s="132">
        <v>516100</v>
      </c>
      <c r="D538" s="88" t="s">
        <v>166</v>
      </c>
      <c r="E538" s="148">
        <v>38417</v>
      </c>
      <c r="F538" s="148">
        <f>G538-E538</f>
        <v>4115.519999999997</v>
      </c>
      <c r="G538" s="148">
        <v>42532.52</v>
      </c>
      <c r="H538" s="148">
        <f t="shared" si="63"/>
        <v>110.71275737303796</v>
      </c>
      <c r="I538" s="417">
        <f t="shared" si="62"/>
        <v>0.13283110555902558</v>
      </c>
      <c r="J538" s="6"/>
    </row>
    <row r="539" spans="1:10" ht="12.75">
      <c r="A539" s="129"/>
      <c r="B539" s="52">
        <v>638000</v>
      </c>
      <c r="C539" s="66"/>
      <c r="D539" s="143" t="s">
        <v>319</v>
      </c>
      <c r="E539" s="149">
        <f>SUM(E540)</f>
        <v>1000</v>
      </c>
      <c r="F539" s="149">
        <f>SUM(F540)</f>
        <v>0</v>
      </c>
      <c r="G539" s="149">
        <f>SUM(G540)</f>
        <v>1000</v>
      </c>
      <c r="H539" s="145">
        <f t="shared" si="63"/>
        <v>100</v>
      </c>
      <c r="I539" s="181">
        <f t="shared" si="62"/>
        <v>0.003123048094940662</v>
      </c>
      <c r="J539" s="6"/>
    </row>
    <row r="540" spans="1:10" ht="38.25" customHeight="1">
      <c r="A540" s="129"/>
      <c r="B540" s="132"/>
      <c r="C540" s="66">
        <v>638100</v>
      </c>
      <c r="D540" s="88" t="s">
        <v>320</v>
      </c>
      <c r="E540" s="154">
        <v>1000</v>
      </c>
      <c r="F540" s="154">
        <f>G540-E540</f>
        <v>0</v>
      </c>
      <c r="G540" s="154">
        <v>1000</v>
      </c>
      <c r="H540" s="148">
        <f t="shared" si="63"/>
        <v>100</v>
      </c>
      <c r="I540" s="417">
        <f t="shared" si="62"/>
        <v>0.003123048094940662</v>
      </c>
      <c r="J540" s="6"/>
    </row>
    <row r="541" spans="1:10" ht="22.5" customHeight="1">
      <c r="A541" s="507"/>
      <c r="B541" s="508"/>
      <c r="C541" s="501" t="s">
        <v>89</v>
      </c>
      <c r="D541" s="505"/>
      <c r="E541" s="167">
        <f>E519+E524+E534+E537+E539</f>
        <v>305200</v>
      </c>
      <c r="F541" s="167">
        <f>F519+F524+F534+F537+F539</f>
        <v>-3.637978807091713E-12</v>
      </c>
      <c r="G541" s="167">
        <f>G519+G524+G534+G537+G539</f>
        <v>305200</v>
      </c>
      <c r="H541" s="382">
        <f t="shared" si="63"/>
        <v>100</v>
      </c>
      <c r="I541" s="358">
        <f t="shared" si="62"/>
        <v>0.9531542785758901</v>
      </c>
      <c r="J541" s="6"/>
    </row>
    <row r="542" spans="1:10" ht="36.75" customHeight="1">
      <c r="A542" s="507"/>
      <c r="B542" s="508"/>
      <c r="C542" s="502" t="s">
        <v>587</v>
      </c>
      <c r="D542" s="502"/>
      <c r="E542" s="440"/>
      <c r="F542" s="440"/>
      <c r="G542" s="440"/>
      <c r="H542" s="239"/>
      <c r="I542" s="240"/>
      <c r="J542" s="6"/>
    </row>
    <row r="543" spans="1:10" ht="14.25" customHeight="1">
      <c r="A543" s="129"/>
      <c r="B543" s="52">
        <v>412000</v>
      </c>
      <c r="C543" s="241"/>
      <c r="D543" s="143" t="s">
        <v>119</v>
      </c>
      <c r="E543" s="183">
        <f>SUM(E544:E548)</f>
        <v>9900</v>
      </c>
      <c r="F543" s="183">
        <f>SUM(F544:F548)</f>
        <v>-635</v>
      </c>
      <c r="G543" s="183">
        <f>SUM(G544:G548)</f>
        <v>9265</v>
      </c>
      <c r="H543" s="183">
        <f>G543/E543*100</f>
        <v>93.58585858585859</v>
      </c>
      <c r="I543" s="184">
        <f aca="true" t="shared" si="65" ref="I543:I551">G543/$G$611*100</f>
        <v>0.028935040599625237</v>
      </c>
      <c r="J543" s="6"/>
    </row>
    <row r="544" spans="1:10" ht="24" customHeight="1">
      <c r="A544" s="129" t="s">
        <v>31</v>
      </c>
      <c r="B544" s="132"/>
      <c r="C544" s="242">
        <v>412200</v>
      </c>
      <c r="D544" s="88" t="s">
        <v>121</v>
      </c>
      <c r="E544" s="153">
        <v>3300</v>
      </c>
      <c r="F544" s="153">
        <f>G544-E544</f>
        <v>-575</v>
      </c>
      <c r="G544" s="153">
        <v>2725</v>
      </c>
      <c r="H544" s="194">
        <f aca="true" t="shared" si="66" ref="H544:H552">G544/E544*100</f>
        <v>82.57575757575758</v>
      </c>
      <c r="I544" s="182">
        <f t="shared" si="65"/>
        <v>0.008510306058713304</v>
      </c>
      <c r="J544" s="6"/>
    </row>
    <row r="545" spans="1:10" ht="12.75">
      <c r="A545" s="129" t="s">
        <v>31</v>
      </c>
      <c r="B545" s="132"/>
      <c r="C545" s="242">
        <v>412300</v>
      </c>
      <c r="D545" s="132" t="s">
        <v>122</v>
      </c>
      <c r="E545" s="151">
        <v>1800</v>
      </c>
      <c r="F545" s="153">
        <f>G545-E545</f>
        <v>0</v>
      </c>
      <c r="G545" s="151">
        <v>1800</v>
      </c>
      <c r="H545" s="194">
        <f t="shared" si="66"/>
        <v>100</v>
      </c>
      <c r="I545" s="182">
        <f t="shared" si="65"/>
        <v>0.005621486570893191</v>
      </c>
      <c r="J545" s="6"/>
    </row>
    <row r="546" spans="1:10" ht="12.75">
      <c r="A546" s="129" t="s">
        <v>31</v>
      </c>
      <c r="B546" s="132"/>
      <c r="C546" s="242">
        <v>412500</v>
      </c>
      <c r="D546" s="132" t="s">
        <v>124</v>
      </c>
      <c r="E546" s="151">
        <v>1800</v>
      </c>
      <c r="F546" s="153">
        <f>G546-E546</f>
        <v>0</v>
      </c>
      <c r="G546" s="194">
        <v>1800</v>
      </c>
      <c r="H546" s="194">
        <f t="shared" si="66"/>
        <v>100</v>
      </c>
      <c r="I546" s="182">
        <f t="shared" si="65"/>
        <v>0.005621486570893191</v>
      </c>
      <c r="J546" s="6"/>
    </row>
    <row r="547" spans="1:10" ht="12.75">
      <c r="A547" s="129" t="s">
        <v>31</v>
      </c>
      <c r="B547" s="132"/>
      <c r="C547" s="242">
        <v>412700</v>
      </c>
      <c r="D547" s="132" t="s">
        <v>126</v>
      </c>
      <c r="E547" s="153">
        <v>2000</v>
      </c>
      <c r="F547" s="153">
        <f>G547-E547</f>
        <v>-60</v>
      </c>
      <c r="G547" s="153">
        <v>1940</v>
      </c>
      <c r="H547" s="194">
        <f t="shared" si="66"/>
        <v>97</v>
      </c>
      <c r="I547" s="182">
        <f t="shared" si="65"/>
        <v>0.006058713304184885</v>
      </c>
      <c r="J547" s="6"/>
    </row>
    <row r="548" spans="1:10" ht="12.75">
      <c r="A548" s="129" t="s">
        <v>31</v>
      </c>
      <c r="B548" s="132"/>
      <c r="C548" s="242">
        <v>412900</v>
      </c>
      <c r="D548" s="132" t="s">
        <v>128</v>
      </c>
      <c r="E548" s="153">
        <v>1000</v>
      </c>
      <c r="F548" s="153">
        <f>G548-E548</f>
        <v>0</v>
      </c>
      <c r="G548" s="69">
        <v>1000</v>
      </c>
      <c r="H548" s="194">
        <f t="shared" si="66"/>
        <v>100</v>
      </c>
      <c r="I548" s="182">
        <f t="shared" si="65"/>
        <v>0.003123048094940662</v>
      </c>
      <c r="J548" s="6"/>
    </row>
    <row r="549" spans="1:10" ht="12.75">
      <c r="A549" s="129"/>
      <c r="B549" s="52">
        <v>511000</v>
      </c>
      <c r="C549" s="243"/>
      <c r="D549" s="143" t="s">
        <v>137</v>
      </c>
      <c r="E549" s="183">
        <f>SUM(E550:E551)</f>
        <v>2220</v>
      </c>
      <c r="F549" s="183">
        <f>SUM(F550:F551)</f>
        <v>-120</v>
      </c>
      <c r="G549" s="183">
        <f>SUM(G550:G551)</f>
        <v>2100</v>
      </c>
      <c r="H549" s="183">
        <f t="shared" si="66"/>
        <v>94.5945945945946</v>
      </c>
      <c r="I549" s="184">
        <f t="shared" si="65"/>
        <v>0.0065584009993753896</v>
      </c>
      <c r="J549" s="6"/>
    </row>
    <row r="550" spans="1:10" ht="12.75">
      <c r="A550" s="129" t="s">
        <v>31</v>
      </c>
      <c r="B550" s="132"/>
      <c r="C550" s="242">
        <v>511300</v>
      </c>
      <c r="D550" s="132" t="s">
        <v>2</v>
      </c>
      <c r="E550" s="151">
        <v>1200</v>
      </c>
      <c r="F550" s="151">
        <f>G550-E550</f>
        <v>-120</v>
      </c>
      <c r="G550" s="151">
        <v>1080</v>
      </c>
      <c r="H550" s="194">
        <f t="shared" si="66"/>
        <v>90</v>
      </c>
      <c r="I550" s="182">
        <f t="shared" si="65"/>
        <v>0.003372891942535915</v>
      </c>
      <c r="J550" s="6"/>
    </row>
    <row r="551" spans="1:10" ht="26.25" customHeight="1">
      <c r="A551" s="136" t="s">
        <v>31</v>
      </c>
      <c r="B551" s="432"/>
      <c r="C551" s="242">
        <v>511300</v>
      </c>
      <c r="D551" s="88" t="s">
        <v>673</v>
      </c>
      <c r="E551" s="151">
        <v>1020</v>
      </c>
      <c r="F551" s="151">
        <f>G551-E551</f>
        <v>0</v>
      </c>
      <c r="G551" s="151">
        <v>1020</v>
      </c>
      <c r="H551" s="194">
        <f t="shared" si="66"/>
        <v>100</v>
      </c>
      <c r="I551" s="182">
        <f t="shared" si="65"/>
        <v>0.0031855090568394754</v>
      </c>
      <c r="J551" s="6"/>
    </row>
    <row r="552" spans="1:10" ht="30" customHeight="1">
      <c r="A552" s="507"/>
      <c r="B552" s="508"/>
      <c r="C552" s="501" t="s">
        <v>267</v>
      </c>
      <c r="D552" s="501"/>
      <c r="E552" s="54">
        <f>E543+E549</f>
        <v>12120</v>
      </c>
      <c r="F552" s="54">
        <f>F543+F549</f>
        <v>-755</v>
      </c>
      <c r="G552" s="54">
        <f>G543+G549</f>
        <v>11365</v>
      </c>
      <c r="H552" s="383">
        <f t="shared" si="66"/>
        <v>93.77062706270627</v>
      </c>
      <c r="I552" s="425">
        <f>G552/$G$611*100</f>
        <v>0.03549344159900062</v>
      </c>
      <c r="J552" s="6"/>
    </row>
    <row r="553" spans="1:10" ht="21.75" customHeight="1">
      <c r="A553" s="169"/>
      <c r="B553" s="170"/>
      <c r="C553" s="503" t="s">
        <v>588</v>
      </c>
      <c r="D553" s="504"/>
      <c r="E553" s="244"/>
      <c r="F553" s="244"/>
      <c r="G553" s="244"/>
      <c r="H553" s="171"/>
      <c r="I553" s="235"/>
      <c r="J553" s="6"/>
    </row>
    <row r="554" spans="1:10" ht="21.75" customHeight="1">
      <c r="A554" s="177"/>
      <c r="B554" s="178"/>
      <c r="C554" s="504"/>
      <c r="D554" s="504"/>
      <c r="E554" s="245"/>
      <c r="F554" s="245"/>
      <c r="G554" s="245"/>
      <c r="H554" s="179"/>
      <c r="I554" s="237"/>
      <c r="J554" s="6"/>
    </row>
    <row r="555" spans="1:10" ht="12.75">
      <c r="A555" s="445"/>
      <c r="B555" s="246" t="s">
        <v>352</v>
      </c>
      <c r="C555" s="444"/>
      <c r="D555" s="78" t="s">
        <v>321</v>
      </c>
      <c r="E555" s="145">
        <f>SUM(E556)</f>
        <v>2500</v>
      </c>
      <c r="F555" s="145">
        <f>SUM(F556)</f>
        <v>0</v>
      </c>
      <c r="G555" s="145">
        <f>SUM(G556)</f>
        <v>2500</v>
      </c>
      <c r="H555" s="145">
        <f>G555/E555*100</f>
        <v>100</v>
      </c>
      <c r="I555" s="181">
        <f aca="true" t="shared" si="67" ref="I555:I569">G555/$G$611*100</f>
        <v>0.007807620237351655</v>
      </c>
      <c r="J555" s="6"/>
    </row>
    <row r="556" spans="1:10" ht="25.5">
      <c r="A556" s="247" t="s">
        <v>27</v>
      </c>
      <c r="B556" s="246"/>
      <c r="C556" s="327">
        <v>411200</v>
      </c>
      <c r="D556" s="72" t="s">
        <v>322</v>
      </c>
      <c r="E556" s="152">
        <v>2500</v>
      </c>
      <c r="F556" s="152">
        <f>G556-E556</f>
        <v>0</v>
      </c>
      <c r="G556" s="152">
        <v>2500</v>
      </c>
      <c r="H556" s="148">
        <f aca="true" t="shared" si="68" ref="H556:H569">G556/E556*100</f>
        <v>100</v>
      </c>
      <c r="I556" s="417">
        <f t="shared" si="67"/>
        <v>0.007807620237351655</v>
      </c>
      <c r="J556" s="6"/>
    </row>
    <row r="557" spans="1:10" ht="12.75">
      <c r="A557" s="247"/>
      <c r="B557" s="246" t="s">
        <v>353</v>
      </c>
      <c r="C557" s="328"/>
      <c r="D557" s="78" t="s">
        <v>119</v>
      </c>
      <c r="E557" s="145">
        <f>SUM(E558:E565)</f>
        <v>4450</v>
      </c>
      <c r="F557" s="145">
        <f>SUM(F558:F565)</f>
        <v>-150</v>
      </c>
      <c r="G557" s="145">
        <f>SUM(G558:G565)</f>
        <v>4300</v>
      </c>
      <c r="H557" s="145">
        <f t="shared" si="68"/>
        <v>96.62921348314607</v>
      </c>
      <c r="I557" s="181">
        <f t="shared" si="67"/>
        <v>0.013429106808244846</v>
      </c>
      <c r="J557" s="6"/>
    </row>
    <row r="558" spans="1:10" ht="25.5">
      <c r="A558" s="247" t="s">
        <v>27</v>
      </c>
      <c r="B558" s="246"/>
      <c r="C558" s="327">
        <v>412200</v>
      </c>
      <c r="D558" s="88" t="s">
        <v>121</v>
      </c>
      <c r="E558" s="152">
        <v>2000</v>
      </c>
      <c r="F558" s="152">
        <f>G558-E558</f>
        <v>0</v>
      </c>
      <c r="G558" s="152">
        <v>2000</v>
      </c>
      <c r="H558" s="148">
        <f t="shared" si="68"/>
        <v>100</v>
      </c>
      <c r="I558" s="417">
        <f t="shared" si="67"/>
        <v>0.006246096189881324</v>
      </c>
      <c r="J558" s="6"/>
    </row>
    <row r="559" spans="1:10" ht="12.75">
      <c r="A559" s="247" t="s">
        <v>27</v>
      </c>
      <c r="B559" s="246"/>
      <c r="C559" s="327">
        <v>412300</v>
      </c>
      <c r="D559" s="132" t="s">
        <v>122</v>
      </c>
      <c r="E559" s="152">
        <v>500</v>
      </c>
      <c r="F559" s="152">
        <f aca="true" t="shared" si="69" ref="F559:F565">G559-E559</f>
        <v>0</v>
      </c>
      <c r="G559" s="152">
        <v>500</v>
      </c>
      <c r="H559" s="148">
        <f t="shared" si="68"/>
        <v>100</v>
      </c>
      <c r="I559" s="417">
        <f t="shared" si="67"/>
        <v>0.001561524047470331</v>
      </c>
      <c r="J559" s="6"/>
    </row>
    <row r="560" spans="1:10" ht="13.5" customHeight="1">
      <c r="A560" s="247" t="s">
        <v>27</v>
      </c>
      <c r="B560" s="246"/>
      <c r="C560" s="327">
        <v>412400</v>
      </c>
      <c r="D560" s="88" t="s">
        <v>123</v>
      </c>
      <c r="E560" s="152">
        <v>200</v>
      </c>
      <c r="F560" s="152">
        <f t="shared" si="69"/>
        <v>-150</v>
      </c>
      <c r="G560" s="152">
        <v>50</v>
      </c>
      <c r="H560" s="148">
        <f t="shared" si="68"/>
        <v>25</v>
      </c>
      <c r="I560" s="417">
        <f t="shared" si="67"/>
        <v>0.0001561524047470331</v>
      </c>
      <c r="J560" s="6"/>
    </row>
    <row r="561" spans="1:10" ht="12.75" customHeight="1" hidden="1">
      <c r="A561" s="247" t="s">
        <v>27</v>
      </c>
      <c r="B561" s="246"/>
      <c r="C561" s="327">
        <v>412600</v>
      </c>
      <c r="D561" s="88" t="s">
        <v>125</v>
      </c>
      <c r="E561" s="152"/>
      <c r="F561" s="152">
        <f t="shared" si="69"/>
        <v>0</v>
      </c>
      <c r="G561" s="152"/>
      <c r="H561" s="148" t="e">
        <f t="shared" si="68"/>
        <v>#DIV/0!</v>
      </c>
      <c r="I561" s="417">
        <f t="shared" si="67"/>
        <v>0</v>
      </c>
      <c r="J561" s="6"/>
    </row>
    <row r="562" spans="1:10" ht="12.75" customHeight="1" hidden="1">
      <c r="A562" s="247" t="s">
        <v>27</v>
      </c>
      <c r="B562" s="246"/>
      <c r="C562" s="327">
        <v>412500</v>
      </c>
      <c r="D562" s="88" t="s">
        <v>427</v>
      </c>
      <c r="E562" s="152"/>
      <c r="F562" s="152">
        <f t="shared" si="69"/>
        <v>0</v>
      </c>
      <c r="G562" s="152"/>
      <c r="H562" s="148" t="e">
        <f t="shared" si="68"/>
        <v>#DIV/0!</v>
      </c>
      <c r="I562" s="417">
        <f t="shared" si="67"/>
        <v>0</v>
      </c>
      <c r="J562" s="6"/>
    </row>
    <row r="563" spans="1:10" ht="12.75">
      <c r="A563" s="247" t="s">
        <v>27</v>
      </c>
      <c r="B563" s="246"/>
      <c r="C563" s="327">
        <v>412700</v>
      </c>
      <c r="D563" s="132" t="s">
        <v>126</v>
      </c>
      <c r="E563" s="152">
        <v>800</v>
      </c>
      <c r="F563" s="152">
        <f t="shared" si="69"/>
        <v>0</v>
      </c>
      <c r="G563" s="152">
        <v>800</v>
      </c>
      <c r="H563" s="148">
        <f t="shared" si="68"/>
        <v>100</v>
      </c>
      <c r="I563" s="417">
        <f t="shared" si="67"/>
        <v>0.0024984384759525295</v>
      </c>
      <c r="J563" s="6"/>
    </row>
    <row r="564" spans="1:10" ht="12.75">
      <c r="A564" s="247" t="s">
        <v>27</v>
      </c>
      <c r="B564" s="246"/>
      <c r="C564" s="327">
        <v>412900</v>
      </c>
      <c r="D564" s="132" t="s">
        <v>128</v>
      </c>
      <c r="E564" s="148">
        <v>600</v>
      </c>
      <c r="F564" s="152">
        <f t="shared" si="69"/>
        <v>0</v>
      </c>
      <c r="G564" s="148">
        <v>600</v>
      </c>
      <c r="H564" s="148">
        <f t="shared" si="68"/>
        <v>100</v>
      </c>
      <c r="I564" s="417">
        <f t="shared" si="67"/>
        <v>0.0018738288569643971</v>
      </c>
      <c r="J564" s="6"/>
    </row>
    <row r="565" spans="1:10" ht="12.75">
      <c r="A565" s="247" t="s">
        <v>27</v>
      </c>
      <c r="B565" s="246"/>
      <c r="C565" s="327">
        <v>412900</v>
      </c>
      <c r="D565" s="132" t="s">
        <v>642</v>
      </c>
      <c r="E565" s="148">
        <v>350</v>
      </c>
      <c r="F565" s="152">
        <f t="shared" si="69"/>
        <v>0</v>
      </c>
      <c r="G565" s="148">
        <v>350</v>
      </c>
      <c r="H565" s="148">
        <f t="shared" si="68"/>
        <v>100</v>
      </c>
      <c r="I565" s="417">
        <f t="shared" si="67"/>
        <v>0.0010930668332292317</v>
      </c>
      <c r="J565" s="6"/>
    </row>
    <row r="566" spans="1:10" ht="14.25" customHeight="1">
      <c r="A566" s="249"/>
      <c r="B566" s="52">
        <v>511000</v>
      </c>
      <c r="C566" s="132"/>
      <c r="D566" s="143" t="s">
        <v>137</v>
      </c>
      <c r="E566" s="145">
        <f>SUM(E567:E568)</f>
        <v>50000</v>
      </c>
      <c r="F566" s="145">
        <f>SUM(F567:F568)</f>
        <v>-2700</v>
      </c>
      <c r="G566" s="145">
        <f>SUM(G567:G568)</f>
        <v>47300</v>
      </c>
      <c r="H566" s="145">
        <f t="shared" si="68"/>
        <v>94.6</v>
      </c>
      <c r="I566" s="181">
        <f t="shared" si="67"/>
        <v>0.14772017489069333</v>
      </c>
      <c r="J566" s="6"/>
    </row>
    <row r="567" spans="1:10" ht="12.75" customHeight="1">
      <c r="A567" s="249" t="s">
        <v>27</v>
      </c>
      <c r="B567" s="246"/>
      <c r="C567" s="66">
        <v>511300</v>
      </c>
      <c r="D567" s="132" t="s">
        <v>599</v>
      </c>
      <c r="E567" s="195">
        <v>50000</v>
      </c>
      <c r="F567" s="195">
        <f>G567-E567</f>
        <v>-2700</v>
      </c>
      <c r="G567" s="195">
        <v>47300</v>
      </c>
      <c r="H567" s="148">
        <f t="shared" si="68"/>
        <v>94.6</v>
      </c>
      <c r="I567" s="417">
        <f t="shared" si="67"/>
        <v>0.14772017489069333</v>
      </c>
      <c r="J567" s="6"/>
    </row>
    <row r="568" spans="1:10" ht="14.25" customHeight="1" hidden="1">
      <c r="A568" s="249" t="s">
        <v>27</v>
      </c>
      <c r="B568" s="246"/>
      <c r="C568" s="66">
        <v>511300</v>
      </c>
      <c r="D568" s="88" t="s">
        <v>477</v>
      </c>
      <c r="E568" s="148">
        <v>0</v>
      </c>
      <c r="F568" s="148">
        <v>0</v>
      </c>
      <c r="G568" s="148">
        <v>0</v>
      </c>
      <c r="H568" s="145" t="e">
        <f t="shared" si="68"/>
        <v>#DIV/0!</v>
      </c>
      <c r="I568" s="181">
        <f t="shared" si="67"/>
        <v>0</v>
      </c>
      <c r="J568" s="6"/>
    </row>
    <row r="569" spans="1:10" ht="24.75" customHeight="1">
      <c r="A569" s="513"/>
      <c r="B569" s="514"/>
      <c r="C569" s="501" t="s">
        <v>354</v>
      </c>
      <c r="D569" s="505"/>
      <c r="E569" s="230">
        <f>E555+E557+E566</f>
        <v>56950</v>
      </c>
      <c r="F569" s="230">
        <f>F555+F557+F566</f>
        <v>-2850</v>
      </c>
      <c r="G569" s="230">
        <f>G555+G557+G566</f>
        <v>54100</v>
      </c>
      <c r="H569" s="382">
        <f t="shared" si="68"/>
        <v>94.99561018437225</v>
      </c>
      <c r="I569" s="358">
        <f t="shared" si="67"/>
        <v>0.16895690193628982</v>
      </c>
      <c r="J569" s="6"/>
    </row>
    <row r="570" spans="1:10" ht="19.5" customHeight="1">
      <c r="A570" s="511"/>
      <c r="B570" s="512"/>
      <c r="C570" s="503" t="s">
        <v>589</v>
      </c>
      <c r="D570" s="506"/>
      <c r="E570" s="158"/>
      <c r="F570" s="158"/>
      <c r="G570" s="158"/>
      <c r="H570" s="158"/>
      <c r="I570" s="159"/>
      <c r="J570" s="6"/>
    </row>
    <row r="571" spans="1:10" ht="21" customHeight="1">
      <c r="A571" s="511"/>
      <c r="B571" s="512"/>
      <c r="C571" s="506"/>
      <c r="D571" s="506"/>
      <c r="E571" s="162"/>
      <c r="F571" s="162"/>
      <c r="G571" s="162"/>
      <c r="H571" s="162"/>
      <c r="I571" s="163"/>
      <c r="J571" s="6"/>
    </row>
    <row r="572" spans="1:10" ht="14.25" customHeight="1">
      <c r="A572" s="222"/>
      <c r="B572" s="52">
        <v>412000</v>
      </c>
      <c r="C572" s="66"/>
      <c r="D572" s="143" t="s">
        <v>119</v>
      </c>
      <c r="E572" s="145">
        <f>SUM(E573:E573)</f>
        <v>2000</v>
      </c>
      <c r="F572" s="145">
        <f>SUM(F573:F573)</f>
        <v>0</v>
      </c>
      <c r="G572" s="145">
        <f>SUM(G573:G573)</f>
        <v>2000</v>
      </c>
      <c r="H572" s="145">
        <f>G572/E572*100</f>
        <v>100</v>
      </c>
      <c r="I572" s="181">
        <f aca="true" t="shared" si="70" ref="I572:I606">G572/$G$611*100</f>
        <v>0.006246096189881324</v>
      </c>
      <c r="J572" s="6"/>
    </row>
    <row r="573" spans="1:10" ht="35.25" customHeight="1">
      <c r="A573" s="129" t="s">
        <v>23</v>
      </c>
      <c r="B573" s="52"/>
      <c r="C573" s="88">
        <v>412900</v>
      </c>
      <c r="D573" s="93" t="s">
        <v>365</v>
      </c>
      <c r="E573" s="196">
        <v>2000</v>
      </c>
      <c r="F573" s="196">
        <f>G573-E573</f>
        <v>0</v>
      </c>
      <c r="G573" s="196">
        <v>2000</v>
      </c>
      <c r="H573" s="148">
        <f aca="true" t="shared" si="71" ref="H573:H606">G573/E573*100</f>
        <v>100</v>
      </c>
      <c r="I573" s="417">
        <f t="shared" si="70"/>
        <v>0.006246096189881324</v>
      </c>
      <c r="J573" s="6"/>
    </row>
    <row r="574" spans="1:10" ht="12.75">
      <c r="A574" s="129"/>
      <c r="B574" s="52">
        <v>413000</v>
      </c>
      <c r="C574" s="88"/>
      <c r="D574" s="143" t="s">
        <v>129</v>
      </c>
      <c r="E574" s="183">
        <f>E575+E578</f>
        <v>220000</v>
      </c>
      <c r="F574" s="183">
        <f>F575+F578</f>
        <v>0</v>
      </c>
      <c r="G574" s="183">
        <f>G575+G578</f>
        <v>220000</v>
      </c>
      <c r="H574" s="145">
        <f t="shared" si="71"/>
        <v>100</v>
      </c>
      <c r="I574" s="181">
        <f t="shared" si="70"/>
        <v>0.6870705808869456</v>
      </c>
      <c r="J574" s="6"/>
    </row>
    <row r="575" spans="1:10" ht="12.75">
      <c r="A575" s="129"/>
      <c r="B575" s="52"/>
      <c r="C575" s="143"/>
      <c r="D575" s="143" t="s">
        <v>130</v>
      </c>
      <c r="E575" s="209">
        <f>SUM(E576:E577)</f>
        <v>150000</v>
      </c>
      <c r="F575" s="209">
        <f>SUM(F576:F577)</f>
        <v>0</v>
      </c>
      <c r="G575" s="209">
        <f>SUM(G576:G577)</f>
        <v>150000</v>
      </c>
      <c r="H575" s="210">
        <f t="shared" si="71"/>
        <v>100</v>
      </c>
      <c r="I575" s="421">
        <f t="shared" si="70"/>
        <v>0.4684572142410993</v>
      </c>
      <c r="J575" s="6"/>
    </row>
    <row r="576" spans="1:10" ht="12.75" customHeight="1">
      <c r="A576" s="129" t="s">
        <v>55</v>
      </c>
      <c r="B576" s="132"/>
      <c r="C576" s="77">
        <v>413300</v>
      </c>
      <c r="D576" s="88" t="s">
        <v>367</v>
      </c>
      <c r="E576" s="196">
        <v>150000</v>
      </c>
      <c r="F576" s="196">
        <f>G576-E576</f>
        <v>0</v>
      </c>
      <c r="G576" s="196">
        <v>150000</v>
      </c>
      <c r="H576" s="148">
        <f t="shared" si="71"/>
        <v>100</v>
      </c>
      <c r="I576" s="417">
        <f t="shared" si="70"/>
        <v>0.4684572142410993</v>
      </c>
      <c r="J576" s="6"/>
    </row>
    <row r="577" spans="1:10" ht="12.75" customHeight="1" hidden="1">
      <c r="A577" s="129" t="s">
        <v>55</v>
      </c>
      <c r="B577" s="132"/>
      <c r="C577" s="77">
        <v>413300</v>
      </c>
      <c r="D577" s="88" t="s">
        <v>490</v>
      </c>
      <c r="E577" s="196"/>
      <c r="F577" s="196"/>
      <c r="G577" s="196"/>
      <c r="H577" s="145" t="e">
        <f t="shared" si="71"/>
        <v>#DIV/0!</v>
      </c>
      <c r="I577" s="181">
        <f t="shared" si="70"/>
        <v>0</v>
      </c>
      <c r="J577" s="10"/>
    </row>
    <row r="578" spans="1:10" ht="18.75" customHeight="1">
      <c r="A578" s="129"/>
      <c r="B578" s="132"/>
      <c r="C578" s="77"/>
      <c r="D578" s="143" t="s">
        <v>450</v>
      </c>
      <c r="E578" s="63">
        <f>SUM(E579:E580)</f>
        <v>70000</v>
      </c>
      <c r="F578" s="63">
        <f>SUM(F579:F580)</f>
        <v>0</v>
      </c>
      <c r="G578" s="63">
        <f>SUM(G579:G580)</f>
        <v>70000</v>
      </c>
      <c r="H578" s="210">
        <f t="shared" si="71"/>
        <v>100</v>
      </c>
      <c r="I578" s="421">
        <f t="shared" si="70"/>
        <v>0.21861336664584632</v>
      </c>
      <c r="J578" s="336"/>
    </row>
    <row r="579" spans="1:10" ht="14.25" customHeight="1">
      <c r="A579" s="129" t="s">
        <v>55</v>
      </c>
      <c r="B579" s="132"/>
      <c r="C579" s="77">
        <v>413700</v>
      </c>
      <c r="D579" s="337" t="s">
        <v>614</v>
      </c>
      <c r="E579" s="338">
        <v>65000</v>
      </c>
      <c r="F579" s="338">
        <f>G579-E579</f>
        <v>0</v>
      </c>
      <c r="G579" s="338">
        <v>65000</v>
      </c>
      <c r="H579" s="148">
        <f t="shared" si="71"/>
        <v>100</v>
      </c>
      <c r="I579" s="417">
        <f t="shared" si="70"/>
        <v>0.20299812617114305</v>
      </c>
      <c r="J579" s="336"/>
    </row>
    <row r="580" spans="1:10" ht="27" customHeight="1">
      <c r="A580" s="129" t="s">
        <v>55</v>
      </c>
      <c r="B580" s="132"/>
      <c r="C580" s="66">
        <v>413700</v>
      </c>
      <c r="D580" s="125" t="s">
        <v>615</v>
      </c>
      <c r="E580" s="196">
        <v>5000</v>
      </c>
      <c r="F580" s="338">
        <f>G580-E580</f>
        <v>0</v>
      </c>
      <c r="G580" s="196">
        <v>5000</v>
      </c>
      <c r="H580" s="148">
        <f t="shared" si="71"/>
        <v>100</v>
      </c>
      <c r="I580" s="417">
        <f t="shared" si="70"/>
        <v>0.01561524047470331</v>
      </c>
      <c r="J580" s="6"/>
    </row>
    <row r="581" spans="1:10" ht="24.75" customHeight="1">
      <c r="A581" s="129"/>
      <c r="B581" s="52">
        <v>418000</v>
      </c>
      <c r="C581" s="66"/>
      <c r="D581" s="143" t="s">
        <v>389</v>
      </c>
      <c r="E581" s="145">
        <f aca="true" t="shared" si="72" ref="E581:G582">SUM(E582)</f>
        <v>3500</v>
      </c>
      <c r="F581" s="145">
        <f t="shared" si="72"/>
        <v>0</v>
      </c>
      <c r="G581" s="145">
        <f t="shared" si="72"/>
        <v>3500</v>
      </c>
      <c r="H581" s="145">
        <f t="shared" si="71"/>
        <v>100</v>
      </c>
      <c r="I581" s="181">
        <f t="shared" si="70"/>
        <v>0.010930668332292318</v>
      </c>
      <c r="J581" s="6"/>
    </row>
    <row r="582" spans="1:10" ht="24.75" customHeight="1">
      <c r="A582" s="129"/>
      <c r="B582" s="52"/>
      <c r="C582" s="66"/>
      <c r="D582" s="143" t="s">
        <v>392</v>
      </c>
      <c r="E582" s="209">
        <f t="shared" si="72"/>
        <v>3500</v>
      </c>
      <c r="F582" s="209">
        <f t="shared" si="72"/>
        <v>0</v>
      </c>
      <c r="G582" s="209">
        <f t="shared" si="72"/>
        <v>3500</v>
      </c>
      <c r="H582" s="210">
        <f t="shared" si="71"/>
        <v>100</v>
      </c>
      <c r="I582" s="421">
        <f t="shared" si="70"/>
        <v>0.010930668332292318</v>
      </c>
      <c r="J582" s="6"/>
    </row>
    <row r="583" spans="1:10" ht="12.75" customHeight="1">
      <c r="A583" s="129" t="s">
        <v>55</v>
      </c>
      <c r="B583" s="132"/>
      <c r="C583" s="66">
        <v>418100</v>
      </c>
      <c r="D583" s="88" t="s">
        <v>210</v>
      </c>
      <c r="E583" s="154">
        <v>3500</v>
      </c>
      <c r="F583" s="154">
        <f>G583-E583</f>
        <v>0</v>
      </c>
      <c r="G583" s="154">
        <v>3500</v>
      </c>
      <c r="H583" s="148">
        <f t="shared" si="71"/>
        <v>100</v>
      </c>
      <c r="I583" s="417">
        <f t="shared" si="70"/>
        <v>0.010930668332292318</v>
      </c>
      <c r="J583" s="6"/>
    </row>
    <row r="584" spans="1:10" ht="15.75" customHeight="1">
      <c r="A584" s="129"/>
      <c r="B584" s="52">
        <v>487000</v>
      </c>
      <c r="C584" s="66"/>
      <c r="D584" s="143" t="s">
        <v>337</v>
      </c>
      <c r="E584" s="183">
        <f>E585+E589</f>
        <v>13500</v>
      </c>
      <c r="F584" s="183">
        <f>F585+F589</f>
        <v>5690.53</v>
      </c>
      <c r="G584" s="183">
        <f>G585+G589</f>
        <v>19190.53</v>
      </c>
      <c r="H584" s="145">
        <f t="shared" si="71"/>
        <v>142.15207407407405</v>
      </c>
      <c r="I584" s="181">
        <f t="shared" si="70"/>
        <v>0.059932948157401626</v>
      </c>
      <c r="J584" s="6"/>
    </row>
    <row r="585" spans="1:10" ht="33.75" customHeight="1">
      <c r="A585" s="129"/>
      <c r="B585" s="52"/>
      <c r="C585" s="66"/>
      <c r="D585" s="92" t="s">
        <v>366</v>
      </c>
      <c r="E585" s="209">
        <f>SUM(E586:E588)</f>
        <v>10000</v>
      </c>
      <c r="F585" s="209">
        <f>SUM(F586:F588)</f>
        <v>5000</v>
      </c>
      <c r="G585" s="209">
        <f>SUM(G586:G588)</f>
        <v>15000</v>
      </c>
      <c r="H585" s="210">
        <f t="shared" si="71"/>
        <v>150</v>
      </c>
      <c r="I585" s="421">
        <f t="shared" si="70"/>
        <v>0.046845721424109935</v>
      </c>
      <c r="J585" s="6"/>
    </row>
    <row r="586" spans="1:10" ht="12.75">
      <c r="A586" s="129" t="s">
        <v>35</v>
      </c>
      <c r="B586" s="132"/>
      <c r="C586" s="66">
        <v>487200</v>
      </c>
      <c r="D586" s="88" t="s">
        <v>350</v>
      </c>
      <c r="E586" s="152">
        <v>6000</v>
      </c>
      <c r="F586" s="152">
        <f>G586-E586</f>
        <v>0</v>
      </c>
      <c r="G586" s="152">
        <v>6000</v>
      </c>
      <c r="H586" s="148">
        <f t="shared" si="71"/>
        <v>100</v>
      </c>
      <c r="I586" s="417">
        <f t="shared" si="70"/>
        <v>0.018738288569643973</v>
      </c>
      <c r="J586" s="6"/>
    </row>
    <row r="587" spans="1:10" ht="12.75">
      <c r="A587" s="129" t="s">
        <v>35</v>
      </c>
      <c r="B587" s="132"/>
      <c r="C587" s="66">
        <v>487300</v>
      </c>
      <c r="D587" s="88" t="s">
        <v>347</v>
      </c>
      <c r="E587" s="152">
        <v>1000</v>
      </c>
      <c r="F587" s="152">
        <f>G587-E587</f>
        <v>5000</v>
      </c>
      <c r="G587" s="152">
        <v>6000</v>
      </c>
      <c r="H587" s="148">
        <f t="shared" si="71"/>
        <v>600</v>
      </c>
      <c r="I587" s="417">
        <f t="shared" si="70"/>
        <v>0.018738288569643973</v>
      </c>
      <c r="J587" s="6"/>
    </row>
    <row r="588" spans="1:10" ht="12.75" customHeight="1">
      <c r="A588" s="129" t="s">
        <v>35</v>
      </c>
      <c r="B588" s="132"/>
      <c r="C588" s="66">
        <v>487400</v>
      </c>
      <c r="D588" s="88" t="s">
        <v>324</v>
      </c>
      <c r="E588" s="152">
        <v>3000</v>
      </c>
      <c r="F588" s="152">
        <f>G588-E588</f>
        <v>0</v>
      </c>
      <c r="G588" s="152">
        <v>3000</v>
      </c>
      <c r="H588" s="148">
        <f t="shared" si="71"/>
        <v>100</v>
      </c>
      <c r="I588" s="417">
        <f t="shared" si="70"/>
        <v>0.009369144284821987</v>
      </c>
      <c r="J588" s="6"/>
    </row>
    <row r="589" spans="1:10" ht="12.75">
      <c r="A589" s="129"/>
      <c r="B589" s="132"/>
      <c r="C589" s="66"/>
      <c r="D589" s="143" t="s">
        <v>336</v>
      </c>
      <c r="E589" s="210">
        <f>SUM(E590)</f>
        <v>3500</v>
      </c>
      <c r="F589" s="210">
        <f>SUM(F590)</f>
        <v>690.5299999999997</v>
      </c>
      <c r="G589" s="210">
        <f>SUM(G590)</f>
        <v>4190.53</v>
      </c>
      <c r="H589" s="210">
        <f t="shared" si="71"/>
        <v>119.72942857142857</v>
      </c>
      <c r="I589" s="421">
        <f t="shared" si="70"/>
        <v>0.013087226733291693</v>
      </c>
      <c r="J589" s="6"/>
    </row>
    <row r="590" spans="1:10" ht="24" customHeight="1">
      <c r="A590" s="129" t="s">
        <v>35</v>
      </c>
      <c r="B590" s="132"/>
      <c r="C590" s="66">
        <v>487900</v>
      </c>
      <c r="D590" s="88" t="s">
        <v>388</v>
      </c>
      <c r="E590" s="154">
        <v>3500</v>
      </c>
      <c r="F590" s="154">
        <f>G590-E590</f>
        <v>690.5299999999997</v>
      </c>
      <c r="G590" s="154">
        <v>4190.53</v>
      </c>
      <c r="H590" s="148">
        <f t="shared" si="71"/>
        <v>119.72942857142857</v>
      </c>
      <c r="I590" s="417">
        <f t="shared" si="70"/>
        <v>0.013087226733291693</v>
      </c>
      <c r="J590" s="6"/>
    </row>
    <row r="591" spans="1:10" ht="13.5" customHeight="1">
      <c r="A591" s="129"/>
      <c r="B591" s="90">
        <v>621000</v>
      </c>
      <c r="C591" s="66"/>
      <c r="D591" s="143" t="s">
        <v>141</v>
      </c>
      <c r="E591" s="149">
        <f>E592+E595</f>
        <v>925000</v>
      </c>
      <c r="F591" s="149">
        <f>F592+F595</f>
        <v>0</v>
      </c>
      <c r="G591" s="149">
        <f>G592+G595</f>
        <v>925000</v>
      </c>
      <c r="H591" s="145">
        <f t="shared" si="71"/>
        <v>100</v>
      </c>
      <c r="I591" s="181">
        <f t="shared" si="70"/>
        <v>2.8888194878201126</v>
      </c>
      <c r="J591" s="6"/>
    </row>
    <row r="592" spans="1:10" ht="12.75">
      <c r="A592" s="129"/>
      <c r="B592" s="90"/>
      <c r="C592" s="66"/>
      <c r="D592" s="143" t="s">
        <v>149</v>
      </c>
      <c r="E592" s="209">
        <f>SUM(E593:E594)</f>
        <v>900000</v>
      </c>
      <c r="F592" s="209">
        <f>SUM(F593:F594)</f>
        <v>0</v>
      </c>
      <c r="G592" s="209">
        <f>SUM(G593:G594)</f>
        <v>900000</v>
      </c>
      <c r="H592" s="210">
        <f t="shared" si="71"/>
        <v>100</v>
      </c>
      <c r="I592" s="421">
        <f t="shared" si="70"/>
        <v>2.8107432854465957</v>
      </c>
      <c r="J592" s="6"/>
    </row>
    <row r="593" spans="1:10" ht="14.25" customHeight="1">
      <c r="A593" s="129"/>
      <c r="B593" s="52"/>
      <c r="C593" s="97">
        <v>621300</v>
      </c>
      <c r="D593" s="93" t="s">
        <v>368</v>
      </c>
      <c r="E593" s="196">
        <v>900000</v>
      </c>
      <c r="F593" s="196">
        <f>G593-E593</f>
        <v>0</v>
      </c>
      <c r="G593" s="196">
        <v>900000</v>
      </c>
      <c r="H593" s="148">
        <f t="shared" si="71"/>
        <v>100</v>
      </c>
      <c r="I593" s="417">
        <f t="shared" si="70"/>
        <v>2.8107432854465957</v>
      </c>
      <c r="J593" s="6"/>
    </row>
    <row r="594" spans="1:10" ht="15" customHeight="1" hidden="1">
      <c r="A594" s="129"/>
      <c r="B594" s="52"/>
      <c r="C594" s="97">
        <v>621300</v>
      </c>
      <c r="D594" s="93" t="s">
        <v>491</v>
      </c>
      <c r="E594" s="196">
        <v>0</v>
      </c>
      <c r="F594" s="196">
        <v>0</v>
      </c>
      <c r="G594" s="196">
        <v>0</v>
      </c>
      <c r="H594" s="145" t="e">
        <f t="shared" si="71"/>
        <v>#DIV/0!</v>
      </c>
      <c r="I594" s="181">
        <f t="shared" si="70"/>
        <v>0</v>
      </c>
      <c r="J594" s="6"/>
    </row>
    <row r="595" spans="1:10" ht="12.75">
      <c r="A595" s="129"/>
      <c r="B595" s="52"/>
      <c r="C595" s="97"/>
      <c r="D595" s="92" t="s">
        <v>291</v>
      </c>
      <c r="E595" s="251">
        <f>E596</f>
        <v>25000</v>
      </c>
      <c r="F595" s="251">
        <f>F596</f>
        <v>0</v>
      </c>
      <c r="G595" s="251">
        <f>G596</f>
        <v>25000</v>
      </c>
      <c r="H595" s="210">
        <f t="shared" si="71"/>
        <v>100</v>
      </c>
      <c r="I595" s="421">
        <f t="shared" si="70"/>
        <v>0.07807620237351655</v>
      </c>
      <c r="J595" s="6"/>
    </row>
    <row r="596" spans="1:10" ht="14.25" customHeight="1">
      <c r="A596" s="129"/>
      <c r="B596" s="52"/>
      <c r="C596" s="97">
        <v>621900</v>
      </c>
      <c r="D596" s="93" t="s">
        <v>296</v>
      </c>
      <c r="E596" s="154">
        <v>25000</v>
      </c>
      <c r="F596" s="154">
        <f>G596-E596</f>
        <v>0</v>
      </c>
      <c r="G596" s="154">
        <v>25000</v>
      </c>
      <c r="H596" s="148">
        <f t="shared" si="71"/>
        <v>100</v>
      </c>
      <c r="I596" s="417">
        <f t="shared" si="70"/>
        <v>0.07807620237351655</v>
      </c>
      <c r="J596" s="6"/>
    </row>
    <row r="597" spans="1:10" ht="25.5">
      <c r="A597" s="129"/>
      <c r="B597" s="52">
        <v>628000</v>
      </c>
      <c r="C597" s="97"/>
      <c r="D597" s="92" t="s">
        <v>390</v>
      </c>
      <c r="E597" s="149">
        <f aca="true" t="shared" si="73" ref="E597:G598">SUM(E598)</f>
        <v>180000</v>
      </c>
      <c r="F597" s="149">
        <f t="shared" si="73"/>
        <v>0</v>
      </c>
      <c r="G597" s="149">
        <f t="shared" si="73"/>
        <v>180000</v>
      </c>
      <c r="H597" s="145">
        <f t="shared" si="71"/>
        <v>100</v>
      </c>
      <c r="I597" s="181">
        <f t="shared" si="70"/>
        <v>0.5621486570893192</v>
      </c>
      <c r="J597" s="6"/>
    </row>
    <row r="598" spans="1:10" ht="25.5">
      <c r="A598" s="129"/>
      <c r="B598" s="52"/>
      <c r="C598" s="97"/>
      <c r="D598" s="92" t="s">
        <v>391</v>
      </c>
      <c r="E598" s="209">
        <f t="shared" si="73"/>
        <v>180000</v>
      </c>
      <c r="F598" s="209">
        <f t="shared" si="73"/>
        <v>0</v>
      </c>
      <c r="G598" s="209">
        <f t="shared" si="73"/>
        <v>180000</v>
      </c>
      <c r="H598" s="210">
        <f t="shared" si="71"/>
        <v>100</v>
      </c>
      <c r="I598" s="421">
        <f t="shared" si="70"/>
        <v>0.5621486570893192</v>
      </c>
      <c r="J598" s="6"/>
    </row>
    <row r="599" spans="1:10" ht="12" customHeight="1">
      <c r="A599" s="129"/>
      <c r="B599" s="52"/>
      <c r="C599" s="97">
        <v>628100</v>
      </c>
      <c r="D599" s="93" t="s">
        <v>348</v>
      </c>
      <c r="E599" s="154">
        <v>180000</v>
      </c>
      <c r="F599" s="154">
        <f>G599-E599</f>
        <v>0</v>
      </c>
      <c r="G599" s="154">
        <v>180000</v>
      </c>
      <c r="H599" s="148">
        <f t="shared" si="71"/>
        <v>100</v>
      </c>
      <c r="I599" s="417">
        <f t="shared" si="70"/>
        <v>0.5621486570893192</v>
      </c>
      <c r="J599" s="6"/>
    </row>
    <row r="600" spans="1:10" ht="12.75">
      <c r="A600" s="129"/>
      <c r="B600" s="90">
        <v>631000</v>
      </c>
      <c r="C600" s="97"/>
      <c r="D600" s="143" t="s">
        <v>314</v>
      </c>
      <c r="E600" s="149">
        <f>SUM(E601:E603)</f>
        <v>102500</v>
      </c>
      <c r="F600" s="149">
        <f>SUM(F601:F603)</f>
        <v>-5320</v>
      </c>
      <c r="G600" s="149">
        <f>SUM(G601:G603)</f>
        <v>97180</v>
      </c>
      <c r="H600" s="145">
        <f t="shared" si="71"/>
        <v>94.80975609756098</v>
      </c>
      <c r="I600" s="181">
        <f t="shared" si="70"/>
        <v>0.30349781386633357</v>
      </c>
      <c r="J600" s="6"/>
    </row>
    <row r="601" spans="1:10" ht="12.75">
      <c r="A601" s="129"/>
      <c r="B601" s="90"/>
      <c r="C601" s="97">
        <v>631300</v>
      </c>
      <c r="D601" s="88" t="s">
        <v>420</v>
      </c>
      <c r="E601" s="154">
        <f>46400+20000</f>
        <v>66400</v>
      </c>
      <c r="F601" s="154">
        <f>G601-E601</f>
        <v>-5320</v>
      </c>
      <c r="G601" s="154">
        <v>61080</v>
      </c>
      <c r="H601" s="148">
        <f t="shared" si="71"/>
        <v>91.98795180722892</v>
      </c>
      <c r="I601" s="417">
        <f t="shared" si="70"/>
        <v>0.19075577763897564</v>
      </c>
      <c r="J601" s="330"/>
    </row>
    <row r="602" spans="1:10" ht="12.75">
      <c r="A602" s="129"/>
      <c r="B602" s="90"/>
      <c r="C602" s="97">
        <v>631300</v>
      </c>
      <c r="D602" s="88" t="s">
        <v>643</v>
      </c>
      <c r="E602" s="154">
        <v>23000</v>
      </c>
      <c r="F602" s="154">
        <f>G602-E602</f>
        <v>0</v>
      </c>
      <c r="G602" s="154">
        <v>23000</v>
      </c>
      <c r="H602" s="148">
        <f t="shared" si="71"/>
        <v>100</v>
      </c>
      <c r="I602" s="417">
        <f t="shared" si="70"/>
        <v>0.07183010618363524</v>
      </c>
      <c r="J602" s="330"/>
    </row>
    <row r="603" spans="1:10" ht="25.5">
      <c r="A603" s="129"/>
      <c r="B603" s="90"/>
      <c r="C603" s="97">
        <v>631900</v>
      </c>
      <c r="D603" s="88" t="s">
        <v>359</v>
      </c>
      <c r="E603" s="196">
        <v>13100</v>
      </c>
      <c r="F603" s="154">
        <f>G603-E603</f>
        <v>0</v>
      </c>
      <c r="G603" s="196">
        <v>13100</v>
      </c>
      <c r="H603" s="148">
        <f t="shared" si="71"/>
        <v>100</v>
      </c>
      <c r="I603" s="417">
        <f t="shared" si="70"/>
        <v>0.04091193004372268</v>
      </c>
      <c r="J603" s="331"/>
    </row>
    <row r="604" spans="1:10" ht="14.25" customHeight="1">
      <c r="A604" s="129"/>
      <c r="B604" s="52">
        <v>638000</v>
      </c>
      <c r="C604" s="97"/>
      <c r="D604" s="92" t="s">
        <v>349</v>
      </c>
      <c r="E604" s="149">
        <f>E605</f>
        <v>7390</v>
      </c>
      <c r="F604" s="149">
        <f>F605</f>
        <v>0</v>
      </c>
      <c r="G604" s="149">
        <f>G605</f>
        <v>7390</v>
      </c>
      <c r="H604" s="145">
        <f t="shared" si="71"/>
        <v>100</v>
      </c>
      <c r="I604" s="181">
        <f t="shared" si="70"/>
        <v>0.023079325421611493</v>
      </c>
      <c r="J604" s="331"/>
    </row>
    <row r="605" spans="1:10" ht="24.75" customHeight="1">
      <c r="A605" s="129"/>
      <c r="B605" s="52"/>
      <c r="C605" s="97">
        <v>638100</v>
      </c>
      <c r="D605" s="93" t="s">
        <v>358</v>
      </c>
      <c r="E605" s="154">
        <v>7390</v>
      </c>
      <c r="F605" s="154">
        <f>G605-E605</f>
        <v>0</v>
      </c>
      <c r="G605" s="154">
        <v>7390</v>
      </c>
      <c r="H605" s="148">
        <f t="shared" si="71"/>
        <v>100</v>
      </c>
      <c r="I605" s="417">
        <f t="shared" si="70"/>
        <v>0.023079325421611493</v>
      </c>
      <c r="J605" s="332"/>
    </row>
    <row r="606" spans="1:10" ht="27.75" customHeight="1">
      <c r="A606" s="515"/>
      <c r="B606" s="516"/>
      <c r="C606" s="501" t="s">
        <v>203</v>
      </c>
      <c r="D606" s="501"/>
      <c r="E606" s="167">
        <f>E572+E574+E581+E584+E591+E597+E600+E604</f>
        <v>1453890</v>
      </c>
      <c r="F606" s="167">
        <f>F572+F574+F581+F584+F591+F597+F600+F604</f>
        <v>370.52999999999975</v>
      </c>
      <c r="G606" s="167">
        <f>G572+G574+G581+G584+G591+G597+G600+G604</f>
        <v>1454260.53</v>
      </c>
      <c r="H606" s="382">
        <f t="shared" si="71"/>
        <v>100.02548542186823</v>
      </c>
      <c r="I606" s="358">
        <f t="shared" si="70"/>
        <v>4.541725577763898</v>
      </c>
      <c r="J606" s="6"/>
    </row>
    <row r="607" spans="1:10" ht="19.5" customHeight="1">
      <c r="A607" s="507"/>
      <c r="B607" s="508"/>
      <c r="C607" s="503" t="s">
        <v>590</v>
      </c>
      <c r="D607" s="506"/>
      <c r="E607" s="186"/>
      <c r="F607" s="186"/>
      <c r="G607" s="186"/>
      <c r="H607" s="186"/>
      <c r="I607" s="187"/>
      <c r="J607" s="6"/>
    </row>
    <row r="608" spans="1:10" ht="8.25" customHeight="1">
      <c r="A608" s="507"/>
      <c r="B608" s="508"/>
      <c r="C608" s="506"/>
      <c r="D608" s="506"/>
      <c r="E608" s="252"/>
      <c r="F608" s="252"/>
      <c r="G608" s="252"/>
      <c r="H608" s="252"/>
      <c r="I608" s="253"/>
      <c r="J608" s="6"/>
    </row>
    <row r="609" spans="1:10" ht="16.5" customHeight="1">
      <c r="A609" s="507"/>
      <c r="B609" s="508"/>
      <c r="C609" s="254" t="s">
        <v>189</v>
      </c>
      <c r="D609" s="75" t="s">
        <v>95</v>
      </c>
      <c r="E609" s="248">
        <v>79942.23</v>
      </c>
      <c r="F609" s="248">
        <f>G609-E609</f>
        <v>-49942.229999999996</v>
      </c>
      <c r="G609" s="248">
        <v>30000</v>
      </c>
      <c r="H609" s="152">
        <f>G609/E609*100</f>
        <v>37.52709925655064</v>
      </c>
      <c r="I609" s="255">
        <f>G609/G611*100</f>
        <v>0.09369144284821987</v>
      </c>
      <c r="J609" s="6"/>
    </row>
    <row r="610" spans="1:10" ht="25.5" customHeight="1">
      <c r="A610" s="507"/>
      <c r="B610" s="508"/>
      <c r="C610" s="501" t="s">
        <v>176</v>
      </c>
      <c r="D610" s="505"/>
      <c r="E610" s="167">
        <f>E609</f>
        <v>79942.23</v>
      </c>
      <c r="F610" s="167">
        <f>F609</f>
        <v>-49942.229999999996</v>
      </c>
      <c r="G610" s="167">
        <f>G609</f>
        <v>30000</v>
      </c>
      <c r="H610" s="157">
        <f>G610/E610*100</f>
        <v>37.52709925655064</v>
      </c>
      <c r="I610" s="185">
        <f>G610/G611*100</f>
        <v>0.09369144284821987</v>
      </c>
      <c r="J610" s="6"/>
    </row>
    <row r="611" spans="1:10" ht="24" customHeight="1" thickBot="1">
      <c r="A611" s="536" t="s">
        <v>199</v>
      </c>
      <c r="B611" s="537"/>
      <c r="C611" s="538" t="s">
        <v>204</v>
      </c>
      <c r="D611" s="539"/>
      <c r="E611" s="256">
        <f>E20+E39+E58+E71+E88+E106+E167+E182+E240+E271+E282+E300+E311+E336+E383+E410+E471+E492+E516+E541+E552+E569+E606+E610</f>
        <v>30460000</v>
      </c>
      <c r="F611" s="256">
        <f>F20+F39+F58+F71+F88+F106+F167+F182+F240+F271+F282+F300+F311+F336+F383+F410+F471+F492+F516+F541+F552+F569+F606+F610</f>
        <v>1560000.0000000002</v>
      </c>
      <c r="G611" s="256">
        <f>G20+G39+G58+G71+G88+G106+G167+G182+G240+G271+G282+G300+G311+G336+G383+G410+G471+G492+G516+G541+G552+G569+G606+G610</f>
        <v>32020000</v>
      </c>
      <c r="H611" s="257">
        <f>G611/E611*100</f>
        <v>105.12147078135258</v>
      </c>
      <c r="I611" s="258">
        <f>G611/G611*100</f>
        <v>100</v>
      </c>
      <c r="J611" s="9"/>
    </row>
    <row r="612" spans="1:10" ht="21" customHeight="1" thickTop="1">
      <c r="A612" s="31"/>
      <c r="B612" s="31"/>
      <c r="C612" s="33"/>
      <c r="D612" s="33"/>
      <c r="E612" s="34"/>
      <c r="F612" s="34"/>
      <c r="G612" s="34"/>
      <c r="H612" s="34"/>
      <c r="I612" s="35"/>
      <c r="J612" s="9"/>
    </row>
    <row r="613" spans="1:10" ht="21" customHeight="1">
      <c r="A613" s="31"/>
      <c r="B613" s="31"/>
      <c r="C613" s="33"/>
      <c r="D613" s="33"/>
      <c r="E613" s="34"/>
      <c r="F613" s="34"/>
      <c r="G613" s="34"/>
      <c r="H613" s="34"/>
      <c r="I613" s="35"/>
      <c r="J613" s="9"/>
    </row>
    <row r="614" spans="1:10" ht="10.5" customHeight="1">
      <c r="A614" s="7"/>
      <c r="B614" s="6"/>
      <c r="C614" s="6"/>
      <c r="D614" s="367"/>
      <c r="E614" s="17"/>
      <c r="F614" s="17"/>
      <c r="G614" s="17"/>
      <c r="H614" s="17"/>
      <c r="I614" s="27"/>
      <c r="J614" s="6"/>
    </row>
    <row r="615" spans="4:7" ht="0.75" customHeight="1">
      <c r="D615" s="397" t="s">
        <v>618</v>
      </c>
      <c r="E615" s="398">
        <f>'B.pr. i prim. za nef. im.'!D117+Finansiranje!C7+Finansiranje!C12+Finansiranje!C21+Finansiranje!C37</f>
        <v>30460000</v>
      </c>
      <c r="F615" s="398">
        <f>'B.pr. i prim. za nef. im.'!E117+Finansiranje!D7+Finansiranje!D12+Finansiranje!D21+Finansiranje!D37</f>
        <v>1559999.9999999995</v>
      </c>
      <c r="G615" s="398">
        <f>'B.pr. i prim. za nef. im.'!F117+Finansiranje!E7+Finansiranje!E12+Finansiranje!E21+Finansiranje!E37</f>
        <v>32020000</v>
      </c>
    </row>
    <row r="616" spans="4:7" ht="33" customHeight="1" hidden="1">
      <c r="D616" s="397" t="s">
        <v>619</v>
      </c>
      <c r="E616" s="398">
        <f>E611-E615</f>
        <v>0</v>
      </c>
      <c r="F616" s="398">
        <f>F611-F615</f>
        <v>0</v>
      </c>
      <c r="G616" s="398">
        <f>G611-G615</f>
        <v>0</v>
      </c>
    </row>
    <row r="617" spans="4:7" ht="12.75">
      <c r="D617" s="399"/>
      <c r="E617" s="395"/>
      <c r="F617" s="395"/>
      <c r="G617" s="395"/>
    </row>
    <row r="618" spans="4:8" ht="12.75">
      <c r="D618" s="2"/>
      <c r="E618" s="438"/>
      <c r="F618" s="406"/>
      <c r="G618" s="406"/>
      <c r="H618" s="386"/>
    </row>
    <row r="619" spans="4:7" ht="12.75">
      <c r="D619" s="396"/>
      <c r="E619" s="395"/>
      <c r="F619" s="395"/>
      <c r="G619" s="395"/>
    </row>
    <row r="620" spans="4:7" ht="12.75">
      <c r="D620" s="396"/>
      <c r="E620" s="395"/>
      <c r="F620" s="395"/>
      <c r="G620" s="395"/>
    </row>
    <row r="621" spans="5:7" ht="12.75">
      <c r="E621" s="36"/>
      <c r="G621" s="1"/>
    </row>
    <row r="622" ht="12.75">
      <c r="G622" s="1"/>
    </row>
    <row r="623" ht="12.75">
      <c r="G623" s="1"/>
    </row>
    <row r="624" spans="5:7" ht="12.75">
      <c r="E624" s="1"/>
      <c r="F624" s="1"/>
      <c r="G624" s="1"/>
    </row>
    <row r="627" spans="5:7" ht="12.75">
      <c r="E627" s="1"/>
      <c r="F627" s="1"/>
      <c r="G627" s="1"/>
    </row>
  </sheetData>
  <sheetProtection/>
  <mergeCells count="100">
    <mergeCell ref="C167:D167"/>
    <mergeCell ref="C183:D186"/>
    <mergeCell ref="C168:D170"/>
    <mergeCell ref="C240:D240"/>
    <mergeCell ref="C283:D284"/>
    <mergeCell ref="C300:D300"/>
    <mergeCell ref="A337:B339"/>
    <mergeCell ref="C553:D554"/>
    <mergeCell ref="A607:B608"/>
    <mergeCell ref="C383:D383"/>
    <mergeCell ref="C492:D492"/>
    <mergeCell ref="C606:D606"/>
    <mergeCell ref="A493:B494"/>
    <mergeCell ref="C472:D474"/>
    <mergeCell ref="C471:D471"/>
    <mergeCell ref="C569:D569"/>
    <mergeCell ref="A611:B611"/>
    <mergeCell ref="A606:B606"/>
    <mergeCell ref="A312:B314"/>
    <mergeCell ref="A570:B571"/>
    <mergeCell ref="C336:D336"/>
    <mergeCell ref="C610:D610"/>
    <mergeCell ref="A610:B610"/>
    <mergeCell ref="A541:B541"/>
    <mergeCell ref="C611:D611"/>
    <mergeCell ref="C607:D608"/>
    <mergeCell ref="A241:B244"/>
    <mergeCell ref="A183:B186"/>
    <mergeCell ref="C241:D244"/>
    <mergeCell ref="C384:D386"/>
    <mergeCell ref="A300:B300"/>
    <mergeCell ref="A282:B282"/>
    <mergeCell ref="A271:B271"/>
    <mergeCell ref="A240:B240"/>
    <mergeCell ref="C312:D314"/>
    <mergeCell ref="A272:B274"/>
    <mergeCell ref="A72:B74"/>
    <mergeCell ref="A89:B91"/>
    <mergeCell ref="C40:D42"/>
    <mergeCell ref="C58:D58"/>
    <mergeCell ref="A20:B20"/>
    <mergeCell ref="C39:D39"/>
    <mergeCell ref="A71:B71"/>
    <mergeCell ref="A59:B61"/>
    <mergeCell ref="A21:B23"/>
    <mergeCell ref="A39:B39"/>
    <mergeCell ref="A1:I1"/>
    <mergeCell ref="A2:A3"/>
    <mergeCell ref="B2:C2"/>
    <mergeCell ref="D2:D3"/>
    <mergeCell ref="I2:I3"/>
    <mergeCell ref="F2:F3"/>
    <mergeCell ref="C20:D20"/>
    <mergeCell ref="C71:D71"/>
    <mergeCell ref="A58:B58"/>
    <mergeCell ref="E2:E3"/>
    <mergeCell ref="H2:H3"/>
    <mergeCell ref="A5:B7"/>
    <mergeCell ref="C5:D7"/>
    <mergeCell ref="C21:D23"/>
    <mergeCell ref="A569:B569"/>
    <mergeCell ref="C88:D88"/>
    <mergeCell ref="C182:D182"/>
    <mergeCell ref="A167:B167"/>
    <mergeCell ref="C89:D91"/>
    <mergeCell ref="C107:D110"/>
    <mergeCell ref="A182:B182"/>
    <mergeCell ref="A88:B88"/>
    <mergeCell ref="A168:B170"/>
    <mergeCell ref="C106:D106"/>
    <mergeCell ref="A106:B106"/>
    <mergeCell ref="A107:B110"/>
    <mergeCell ref="A609:B609"/>
    <mergeCell ref="A383:B383"/>
    <mergeCell ref="C570:D571"/>
    <mergeCell ref="A552:B552"/>
    <mergeCell ref="A472:B474"/>
    <mergeCell ref="A492:B492"/>
    <mergeCell ref="A516:B516"/>
    <mergeCell ref="C541:D541"/>
    <mergeCell ref="A542:B542"/>
    <mergeCell ref="A517:B518"/>
    <mergeCell ref="G2:G3"/>
    <mergeCell ref="C282:D282"/>
    <mergeCell ref="C493:D494"/>
    <mergeCell ref="A410:B410"/>
    <mergeCell ref="C311:D311"/>
    <mergeCell ref="A336:B336"/>
    <mergeCell ref="C337:D339"/>
    <mergeCell ref="C410:D410"/>
    <mergeCell ref="C552:D552"/>
    <mergeCell ref="C542:D542"/>
    <mergeCell ref="C517:D518"/>
    <mergeCell ref="C516:D516"/>
    <mergeCell ref="C411:D411"/>
    <mergeCell ref="C59:D61"/>
    <mergeCell ref="C72:D74"/>
    <mergeCell ref="C271:D271"/>
    <mergeCell ref="C301:D303"/>
    <mergeCell ref="C272:D274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scale="93" r:id="rId1"/>
  <headerFooter alignWithMargins="0">
    <oddFooter>&amp;R&amp;P</oddFooter>
  </headerFooter>
  <rowBreaks count="20" manualBreakCount="20">
    <brk id="39" max="8" man="1"/>
    <brk id="71" max="8" man="1"/>
    <brk id="103" max="8" man="1"/>
    <brk id="134" max="8" man="1"/>
    <brk id="162" max="8" man="1"/>
    <brk id="195" max="8" man="1"/>
    <brk id="223" max="8" man="1"/>
    <brk id="253" max="8" man="1"/>
    <brk id="282" max="8" man="1"/>
    <brk id="311" max="8" man="1"/>
    <brk id="342" max="8" man="1"/>
    <brk id="370" max="8" man="1"/>
    <brk id="399" max="8" man="1"/>
    <brk id="427" max="8" man="1"/>
    <brk id="475" max="8" man="1"/>
    <brk id="505" max="8" man="1"/>
    <brk id="536" max="8" man="1"/>
    <brk id="563" max="8" man="1"/>
    <brk id="592" max="8" man="1"/>
    <brk id="611" max="7" man="1"/>
  </rowBreaks>
  <colBreaks count="1" manualBreakCount="1">
    <brk id="9" max="60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7.28125" style="0" customWidth="1"/>
    <col min="2" max="2" width="49.00390625" style="0" customWidth="1"/>
    <col min="3" max="3" width="19.00390625" style="0" hidden="1" customWidth="1"/>
    <col min="4" max="6" width="17.421875" style="0" customWidth="1"/>
    <col min="7" max="7" width="12.421875" style="0" customWidth="1"/>
    <col min="8" max="8" width="10.8515625" style="0" customWidth="1"/>
    <col min="9" max="10" width="13.7109375" style="0" customWidth="1"/>
    <col min="11" max="11" width="14.140625" style="0" customWidth="1"/>
    <col min="12" max="12" width="13.7109375" style="0" customWidth="1"/>
    <col min="13" max="13" width="13.8515625" style="0" customWidth="1"/>
    <col min="14" max="14" width="14.7109375" style="0" customWidth="1"/>
  </cols>
  <sheetData>
    <row r="1" spans="1:8" ht="43.5" customHeight="1">
      <c r="A1" s="540" t="s">
        <v>687</v>
      </c>
      <c r="B1" s="541"/>
      <c r="C1" s="541"/>
      <c r="D1" s="541"/>
      <c r="E1" s="541"/>
      <c r="F1" s="541"/>
      <c r="G1" s="541"/>
      <c r="H1" s="541"/>
    </row>
    <row r="2" spans="1:8" ht="16.5" customHeight="1" thickBot="1">
      <c r="A2" s="542" t="s">
        <v>377</v>
      </c>
      <c r="B2" s="543"/>
      <c r="C2" s="42"/>
      <c r="D2" s="42"/>
      <c r="E2" s="42"/>
      <c r="F2" s="42"/>
      <c r="G2" s="42"/>
      <c r="H2" s="42"/>
    </row>
    <row r="3" spans="1:8" ht="60" customHeight="1" thickTop="1">
      <c r="A3" s="259" t="s">
        <v>211</v>
      </c>
      <c r="B3" s="279" t="s">
        <v>212</v>
      </c>
      <c r="C3" s="306" t="s">
        <v>443</v>
      </c>
      <c r="D3" s="306" t="s">
        <v>688</v>
      </c>
      <c r="E3" s="306" t="s">
        <v>711</v>
      </c>
      <c r="F3" s="306" t="s">
        <v>689</v>
      </c>
      <c r="G3" s="306" t="s">
        <v>109</v>
      </c>
      <c r="H3" s="260" t="s">
        <v>114</v>
      </c>
    </row>
    <row r="4" spans="1:8" ht="15" customHeight="1">
      <c r="A4" s="113">
        <v>1</v>
      </c>
      <c r="B4" s="107">
        <v>2</v>
      </c>
      <c r="C4" s="114"/>
      <c r="D4" s="114" t="s">
        <v>421</v>
      </c>
      <c r="E4" s="114" t="s">
        <v>627</v>
      </c>
      <c r="F4" s="114" t="s">
        <v>629</v>
      </c>
      <c r="G4" s="114" t="s">
        <v>630</v>
      </c>
      <c r="H4" s="115">
        <v>7</v>
      </c>
    </row>
    <row r="5" spans="1:10" ht="12.75">
      <c r="A5" s="129" t="s">
        <v>58</v>
      </c>
      <c r="B5" s="132" t="s">
        <v>67</v>
      </c>
      <c r="C5" s="307" t="e">
        <f>SUM(SUMIF(Org!$A$8:Org!$A$609," 0111",Org!#REF!:Org!#REF!),SUMIF(Org!$A$10:Org!$A$609," 0160",Org!#REF!:Org!#REF!),SUMIF(Org!$A$10:Org!$A$609," 0180",Org!#REF!:Org!#REF!),SUMIF(Org!$A$10:Org!$A$609,"0170 ",Org!#REF!:Org!#REF!))-'B.pr. i prim. za nef. im.'!#REF!-'B.pr. i prim. za nef. im.'!#REF!</f>
        <v>#REF!</v>
      </c>
      <c r="D5" s="307">
        <f>SUM(SUMIF(Org!$A$8:Org!$A$609," 0111",Org!E$8:Org!E$609),SUMIF(Org!$A$10:Org!$A$609," 0160",Org!E$10:Org!E$610),SUMIF(Org!$A$10:Org!$A$609," 0180",Org!E$10:Org!E$610),SUMIF(Org!$A$9:Org!$A$609,"0113",Org!E$9:Org!E$609),SUMIF(Org!$A$10:Org!$A$609,"0170 ",Org!E$10:Org!E$609))-'B.pr. i prim. za nef. im.'!D109-'B.pr. i prim. za nef. im.'!D111</f>
        <v>5668132.71</v>
      </c>
      <c r="E5" s="307">
        <f>SUM(SUMIF(Org!$A$8:Org!$A$609," 0111",Org!F$8:Org!F$609),SUMIF(Org!$A$10:Org!$A$609," 0160",Org!F$10:Org!F$610),SUMIF(Org!$A$10:Org!$A$609," 0180",Org!F$10:Org!F$610),SUMIF(Org!$A$9:Org!$A$609,"0113",Org!F$9:Org!F$609),SUMIF(Org!$A$10:Org!$A$609,"0170 ",Org!F$10:Org!F$609))-'B.pr. i prim. za nef. im.'!E109-'B.pr. i prim. za nef. im.'!E111</f>
        <v>26700.53</v>
      </c>
      <c r="F5" s="307">
        <f>SUM(SUMIF(Org!$A$8:Org!$A$609," 0111",Org!G$8:Org!G$609),SUMIF(Org!$A$10:Org!$A$609," 0160",Org!G$10:Org!G$610),SUMIF(Org!$A$10:Org!$A$609," 0180",Org!G$10:Org!G$610),SUMIF(Org!$A$9:Org!$A$609,"0113",Org!G$9:Org!G$609),SUMIF(Org!$A$10:Org!$A$609,"0170 ",Org!G$10:Org!G$609))-'B.pr. i prim. za nef. im.'!F109-'B.pr. i prim. za nef. im.'!F111</f>
        <v>5694833.24</v>
      </c>
      <c r="G5" s="307">
        <f>F5/D5*100</f>
        <v>100.47106395291159</v>
      </c>
      <c r="H5" s="270">
        <f>F5/$F$15*100</f>
        <v>19.19054389009276</v>
      </c>
      <c r="J5" s="1"/>
    </row>
    <row r="6" spans="1:10" ht="12.75">
      <c r="A6" s="129" t="s">
        <v>59</v>
      </c>
      <c r="B6" s="308" t="s">
        <v>68</v>
      </c>
      <c r="C6" s="307" t="e">
        <f>SUM(SUMIF(Org!$A$10:Org!$A$610,"02",Org!#REF!:Org!#REF!))</f>
        <v>#REF!</v>
      </c>
      <c r="D6" s="307">
        <f>SUM(SUMIF(Org!$A$10:Org!$A$610,"02",Org!E$10:Org!E$610))</f>
        <v>0</v>
      </c>
      <c r="E6" s="307">
        <f>SUM(SUMIF(Org!$A$10:Org!$A$610,"02",Org!F$10:Org!F$610))</f>
        <v>0</v>
      </c>
      <c r="F6" s="307">
        <f>SUM(SUMIF(Org!$A$10:Org!$A$610,"02",Org!G$10:Org!G$610))</f>
        <v>0</v>
      </c>
      <c r="G6" s="307" t="e">
        <f aca="true" t="shared" si="0" ref="G6:G14">F6/D6*100</f>
        <v>#DIV/0!</v>
      </c>
      <c r="H6" s="270">
        <f aca="true" t="shared" si="1" ref="H6:H14">F6/$F$15*100</f>
        <v>0</v>
      </c>
      <c r="J6" s="1"/>
    </row>
    <row r="7" spans="1:10" ht="12.75">
      <c r="A7" s="129" t="s">
        <v>60</v>
      </c>
      <c r="B7" s="132" t="s">
        <v>69</v>
      </c>
      <c r="C7" s="307" t="e">
        <f>SUM(SUMIF(Org!$A$10:Org!$A$609," 0320",Org!#REF!:Org!#REF!),SUMIF(Org!$A$10:Org!$A$609,"0350",Org!#REF!:Org!#REF!))</f>
        <v>#REF!</v>
      </c>
      <c r="D7" s="307">
        <f>SUM(SUMIF(Org!$A$10:Org!$A$609," 0320",Org!E$10:Org!E$610),SUMIF(Org!$A$10:Org!$A$609,"0350"))</f>
        <v>289750</v>
      </c>
      <c r="E7" s="307">
        <f>SUM(SUMIF(Org!$A$10:Org!$A$609," 0320",Org!F$10:Org!F$610),SUMIF(Org!$A$10:Org!$A$609,"0350"))</f>
        <v>-189300</v>
      </c>
      <c r="F7" s="307">
        <f>SUM(SUMIF(Org!$A$10:Org!$A$609," 0320",Org!G$10:Org!G$610),SUMIF(Org!$A$10:Org!$A$609,"0350"))</f>
        <v>100450</v>
      </c>
      <c r="G7" s="307">
        <f t="shared" si="0"/>
        <v>34.66781708369284</v>
      </c>
      <c r="H7" s="270">
        <f t="shared" si="1"/>
        <v>0.33849808282706056</v>
      </c>
      <c r="J7" s="1"/>
    </row>
    <row r="8" spans="1:10" ht="12.75">
      <c r="A8" s="129" t="s">
        <v>61</v>
      </c>
      <c r="B8" s="203" t="s">
        <v>70</v>
      </c>
      <c r="C8" s="307" t="e">
        <f>SUM(SUMIF(Org!$A$10:Org!$A$609," 0412",Org!#REF!:Org!#REF!),SUMIF(Org!$A$10:Org!$A$609," 0421",Org!#REF!:Org!#REF!),SUMIF(Org!$A$10:Org!$A$609," 0422",Org!#REF!:Org!#REF!),SUMIF(Org!$A$10:Org!$A$609," 0442",Org!#REF!:Org!#REF!),SUMIF(Org!$A$10:Org!$A$609," 0451",Org!#REF!:Org!#REF!),SUMIF(Org!$A$10:Org!$A$609," 0473",Org!#REF!:Org!#REF!),SUMIF(Org!$A$10:Org!$A$609,"0474 ",Org!#REF!:Org!#REF!),SUMIF(Org!$A$10:Org!$A$609,"0490 ",Org!#REF!:Org!#REF!))</f>
        <v>#REF!</v>
      </c>
      <c r="D8" s="307">
        <f>SUM(SUMIF(Org!$A$10:Org!$A$609," 0412",Org!E$10:Org!E$609),SUMIF(Org!$A$10:Org!$A$609," 0421",Org!E$10:Org!E$609),SUMIF(Org!$A$10:Org!$A$609," 0422",Org!E$10:Org!E$609),SUMIF(Org!$A$10:Org!$A$609," 0442",Org!E$10:Org!E$609),SUMIF(Org!$A$10:Org!$A$609," 0451",Org!E$10:Org!E$610),SUMIF(Org!$A$10:Org!$A$609," 0473",Org!E$10:Org!E$610),SUMIF(Org!$A$10:Org!$A$609,"0474 ",Org!E$10:Org!E$609),SUMIF(Org!$A$10:Org!$A$609,"0490 ",Org!E$10:Org!E$609))</f>
        <v>1257610</v>
      </c>
      <c r="E8" s="307">
        <f>SUM(SUMIF(Org!$A$10:Org!$A$609," 0412",Org!F$10:Org!F$609),SUMIF(Org!$A$10:Org!$A$609," 0421",Org!F$10:Org!F$609),SUMIF(Org!$A$10:Org!$A$609," 0422",Org!F$10:Org!F$609),SUMIF(Org!$A$10:Org!$A$609," 0442",Org!F$10:Org!F$609),SUMIF(Org!$A$10:Org!$A$609," 0451",Org!F$10:Org!F$610),SUMIF(Org!$A$10:Org!$A$609," 0473",Org!F$10:Org!F$610),SUMIF(Org!$A$10:Org!$A$609,"0474 ",Org!F$10:Org!F$609),SUMIF(Org!$A$10:Org!$A$609,"0490 ",Org!F$10:Org!F$609))</f>
        <v>69802.3</v>
      </c>
      <c r="F8" s="307">
        <f>SUM(SUMIF(Org!$A$10:Org!$A$609," 0412",Org!G$10:Org!G$609),SUMIF(Org!$A$10:Org!$A$609," 0421",Org!G$10:Org!G$609),SUMIF(Org!$A$10:Org!$A$609," 0422",Org!G$10:Org!G$609),SUMIF(Org!$A$10:Org!$A$609," 0442",Org!G$10:Org!G$609),SUMIF(Org!$A$10:Org!$A$609," 0451",Org!G$10:Org!G$610),SUMIF(Org!$A$10:Org!$A$609," 0473",Org!G$10:Org!G$610),SUMIF(Org!$A$10:Org!$A$609,"0474 ",Org!G$10:Org!G$609),SUMIF(Org!$A$10:Org!$A$609,"0490 ",Org!G$10:Org!G$609))</f>
        <v>1327412.3</v>
      </c>
      <c r="G8" s="307">
        <f t="shared" si="0"/>
        <v>105.55039320616089</v>
      </c>
      <c r="H8" s="270">
        <f t="shared" si="1"/>
        <v>4.4731360743758986</v>
      </c>
      <c r="I8" s="1"/>
      <c r="J8" s="1"/>
    </row>
    <row r="9" spans="1:10" ht="12.75">
      <c r="A9" s="129" t="s">
        <v>62</v>
      </c>
      <c r="B9" s="203" t="s">
        <v>71</v>
      </c>
      <c r="C9" s="307" t="e">
        <f>SUM(SUMIF(Org!$A$10:Org!$A$609," 0510",Org!#REF!:Org!#REF!))</f>
        <v>#REF!</v>
      </c>
      <c r="D9" s="307">
        <f>SUM(SUMIF(Org!$A$10:Org!$A$609," 0510",Org!E$10:Org!E$609))</f>
        <v>61000</v>
      </c>
      <c r="E9" s="307">
        <f>SUM(SUMIF(Org!$A$10:Org!$A$609," 0510",Org!F$10:Org!F$609))</f>
        <v>-61000</v>
      </c>
      <c r="F9" s="307">
        <f>SUM(SUMIF(Org!$A$10:Org!$A$609," 0510",Org!G$10:Org!G$609))</f>
        <v>0</v>
      </c>
      <c r="G9" s="307">
        <f t="shared" si="0"/>
        <v>0</v>
      </c>
      <c r="H9" s="270">
        <f t="shared" si="1"/>
        <v>0</v>
      </c>
      <c r="J9" s="1"/>
    </row>
    <row r="10" spans="1:10" ht="12.75">
      <c r="A10" s="129" t="s">
        <v>63</v>
      </c>
      <c r="B10" s="203" t="s">
        <v>72</v>
      </c>
      <c r="C10" s="307" t="e">
        <f>SUM(SUMIF(Org!$A$10:Org!$A$609,"0610 ",Org!#REF!:Org!#REF!),SUMIF(Org!$A$10:Org!$A$609,"0630 ",Org!#REF!:Org!#REF!),SUMIF(Org!$A$10:Org!$A$609,"0620",Org!#REF!:Org!#REF!),SUMIF(Org!$A$10:Org!$A$609,"0660",Org!#REF!:Org!#REF!))</f>
        <v>#REF!</v>
      </c>
      <c r="D10" s="307">
        <f>SUM(SUMIF(Org!$A$10:Org!$A$609,"0610 ",Org!E$10:Org!E$609),SUMIF(Org!$A$10:Org!$A$609,"0630 ",Org!E$10:Org!E$609),SUMIF(Org!$A$10:Org!$A$609,"0620",Org!E$10:Org!E$609),SUMIF(Org!$A$10:Org!$A$609,"0660",Org!E$10:Org!E$609))</f>
        <v>8633645</v>
      </c>
      <c r="E10" s="307">
        <f>SUM(SUMIF(Org!$A$10:Org!$A$609,"0610 ",Org!F$10:Org!F$609),SUMIF(Org!$A$10:Org!$A$609,"0630 ",Org!F$10:Org!F$609),SUMIF(Org!$A$10:Org!$A$609,"0620",Org!F$10:Org!F$609),SUMIF(Org!$A$10:Org!$A$609,"0660",Org!F$10:Org!F$609))</f>
        <v>543065</v>
      </c>
      <c r="F10" s="307">
        <f>SUM(SUMIF(Org!$A$10:Org!$A$609,"0610 ",Org!G$10:Org!G$609),SUMIF(Org!$A$10:Org!$A$609,"0630 ",Org!G$10:Org!G$609),SUMIF(Org!$A$10:Org!$A$609,"0620",Org!G$10:Org!G$609),SUMIF(Org!$A$10:Org!$A$609,"0660",Org!G$10:Org!G$609))</f>
        <v>9176710</v>
      </c>
      <c r="G10" s="307">
        <f t="shared" si="0"/>
        <v>106.29010111024951</v>
      </c>
      <c r="H10" s="270">
        <f t="shared" si="1"/>
        <v>30.92383018078561</v>
      </c>
      <c r="J10" s="1"/>
    </row>
    <row r="11" spans="1:10" ht="12.75">
      <c r="A11" s="129" t="s">
        <v>64</v>
      </c>
      <c r="B11" s="67" t="s">
        <v>73</v>
      </c>
      <c r="C11" s="307" t="e">
        <f>SUM(SUMIF(Org!$A$10:Org!$A$609,"0740",Org!#REF!:Org!#REF!),SUMIF(Org!$A$10:Org!$A$609,"0720",Org!#REF!:Org!#REF!),SUMIF(Org!$A$10:Org!$A$609,"0734",Org!#REF!:Org!#REF!))</f>
        <v>#REF!</v>
      </c>
      <c r="D11" s="307">
        <f>SUM(SUMIF(Org!$A$10:Org!$A$609,"0740",Org!E$10:Org!E$609),SUMIF(Org!$A$10:Org!$A$609,"0721",Org!E$10:Org!E$609),SUMIF(Org!$A$10:Org!$A$609,"0734",Org!E$10:Org!E$609))</f>
        <v>4707200</v>
      </c>
      <c r="E11" s="307">
        <f>SUM(SUMIF(Org!$A$10:Org!$A$609,"0740",Org!F$10:Org!F$609),SUMIF(Org!$A$10:Org!$A$609,"0721",Org!F$10:Org!F$609),SUMIF(Org!$A$10:Org!$A$609,"0734",Org!F$10:Org!F$609))</f>
        <v>976635</v>
      </c>
      <c r="F11" s="307">
        <f>SUM(SUMIF(Org!$A$10:Org!$A$609,"0740",Org!G$10:Org!G$609),SUMIF(Org!$A$10:Org!$A$609,"0721",Org!G$10:Org!G$609),SUMIF(Org!$A$10:Org!$A$609,"0734",Org!G$10:Org!G$609))</f>
        <v>5683835</v>
      </c>
      <c r="G11" s="307">
        <f t="shared" si="0"/>
        <v>120.74768439836845</v>
      </c>
      <c r="H11" s="270">
        <f t="shared" si="1"/>
        <v>19.15348183778343</v>
      </c>
      <c r="I11" s="1"/>
      <c r="J11" s="1"/>
    </row>
    <row r="12" spans="1:10" ht="12.75">
      <c r="A12" s="129" t="s">
        <v>65</v>
      </c>
      <c r="B12" s="67" t="s">
        <v>74</v>
      </c>
      <c r="C12" s="307" t="e">
        <f>SUM(SUMIF(Org!$A$10:Org!$A$609,"0810",Org!#REF!),SUMIF(Org!$A$10:Org!$A$610,"0820",Org!#REF!:Org!#REF!),SUMIF(Org!$A$10:Org!$A$610,"0830",Org!#REF!:Org!#REF!),SUMIF(Org!$A$10:Org!$A$609,"0840",Org!#REF!:Org!#REF!),SUMIF(Org!$A$10:Org!$A$609,"0860",Org!#REF!:Org!#REF!))-'B.pr. i prim. za nef. im.'!#REF!</f>
        <v>#REF!</v>
      </c>
      <c r="D12" s="307">
        <f>SUM(SUMIF(Org!$A$10:Org!$A$609,"0810",Org!E$10:E$610),SUMIF(Org!$A$10:Org!$A$610,"0820",Org!E$10:Org!E$610),SUMIF(Org!$A$10:Org!$A$610,"0830",Org!E$10:Org!E$610),SUMIF(Org!$A$10:Org!$A$609,"0840",Org!E$10:Org!E$610),SUMIF(Org!$A$10:Org!$A$609,"0860",Org!E$10:Org!E$610))-'B.pr. i prim. za nef. im.'!D116-'B.pr. i prim. za nef. im.'!D114</f>
        <v>1234741.5499999998</v>
      </c>
      <c r="E12" s="307">
        <f>SUM(SUMIF(Org!$A$10:Org!$A$609,"0810",Org!F$10:F$610),SUMIF(Org!$A$10:Org!$A$610,"0820",Org!F$10:Org!F$610),SUMIF(Org!$A$10:Org!$A$610,"0830",Org!F$10:Org!F$610),SUMIF(Org!$A$10:Org!$A$609,"0840",Org!F$10:Org!F$610),SUMIF(Org!$A$10:Org!$A$609,"0860",Org!F$10:Org!F$610))-'B.pr. i prim. za nef. im.'!E116-'B.pr. i prim. za nef. im.'!E114</f>
        <v>26844.6</v>
      </c>
      <c r="F12" s="307">
        <f>SUM(SUMIF(Org!$A$10:Org!$A$609,"0810",Org!G$10:G$610),SUMIF(Org!$A$10:Org!$A$610,"0820",Org!G$10:Org!G$610),SUMIF(Org!$A$10:Org!$A$610,"0830",Org!G$10:Org!G$610),SUMIF(Org!$A$10:Org!$A$609,"0840",Org!G$10:Org!G$610),SUMIF(Org!$A$10:Org!$A$609,"0860",Org!G$10:Org!G$610))-'B.pr. i prim. za nef. im.'!F116-'B.pr. i prim. za nef. im.'!F114</f>
        <v>1261586.15</v>
      </c>
      <c r="G12" s="307">
        <f t="shared" si="0"/>
        <v>102.174106799921</v>
      </c>
      <c r="H12" s="270">
        <f t="shared" si="1"/>
        <v>4.251314017881258</v>
      </c>
      <c r="J12" s="1"/>
    </row>
    <row r="13" spans="1:10" ht="14.25">
      <c r="A13" s="129" t="s">
        <v>66</v>
      </c>
      <c r="B13" s="203" t="s">
        <v>75</v>
      </c>
      <c r="C13" s="307" t="e">
        <f>SUM(SUMIF(Org!$A$10:Org!$A$609,"0912",Org!#REF!:Org!#REF!),SUMIF(Org!$A$10:Org!$A$609,"0911",Org!#REF!:Org!#REF!),SUMIF(Org!$A$10:Org!$A$609,"0941",Org!#REF!:Org!#REF!),SUMIF(Org!$A$10:Org!$A$609,"0942",Org!#REF!:Org!#REF!),SUMIF(Org!$A$10:Org!$A$609,"0922",Org!#REF!:Org!#REF!),SUMIF(Org!$A$10:Org!$A$609,"0921",Org!#REF!:Org!#REF!))</f>
        <v>#REF!</v>
      </c>
      <c r="D13" s="307">
        <f>SUM(SUMIF(Org!$A$10:Org!$A$609,"0912",Org!E$10:Org!E$610),SUMIF(Org!$A$10:Org!$A$609,"0911",Org!E$10:Org!E$610),SUMIF(Org!$A$10:Org!$A$609,"0941",Org!E$10:Org!E$610),SUMIF(Org!$A$10:Org!$A$609,"0942",Org!E$10:Org!E$610),SUMIF(Org!$A$10:Org!$A$609,"0922",Org!E$10:Org!E$610),SUMIF(Org!$A$10:Org!$A$609,"0921",Org!E$10:Org!E$610))</f>
        <v>1761273.9100000001</v>
      </c>
      <c r="E13" s="307">
        <f>SUM(SUMIF(Org!$A$10:Org!$A$609,"0912",Org!F$10:Org!F$610),SUMIF(Org!$A$10:Org!$A$609,"0911",Org!F$10:Org!F$610),SUMIF(Org!$A$10:Org!$A$609,"0941",Org!F$10:Org!F$610),SUMIF(Org!$A$10:Org!$A$609,"0942",Org!F$10:Org!F$610),SUMIF(Org!$A$10:Org!$A$609,"0922",Org!F$10:Org!F$610),SUMIF(Org!$A$10:Org!$A$609,"0921",Org!F$10:Org!F$610))</f>
        <v>109488.9</v>
      </c>
      <c r="F13" s="307">
        <f>SUM(SUMIF(Org!$A$10:Org!$A$609,"0912",Org!G$10:Org!G$610),SUMIF(Org!$A$10:Org!$A$609,"0911",Org!G$10:Org!G$610),SUMIF(Org!$A$10:Org!$A$609,"0941",Org!G$10:Org!G$610),SUMIF(Org!$A$10:Org!$A$609,"0942",Org!G$10:Org!G$610),SUMIF(Org!$A$10:Org!$A$609,"0922",Org!G$10:Org!G$610),SUMIF(Org!$A$10:Org!$A$609,"0921",Org!G$10:Org!G$610))</f>
        <v>1870762.81</v>
      </c>
      <c r="G13" s="307">
        <f t="shared" si="0"/>
        <v>106.21646067533015</v>
      </c>
      <c r="H13" s="270">
        <f t="shared" si="1"/>
        <v>6.304127671569583</v>
      </c>
      <c r="J13" s="37"/>
    </row>
    <row r="14" spans="1:10" ht="12.75">
      <c r="A14" s="275">
        <v>10</v>
      </c>
      <c r="B14" s="203" t="s">
        <v>76</v>
      </c>
      <c r="C14" s="307" t="e">
        <f>SUM(SUMIF(Org!$A$10:Org!$A$610,"1011",Org!#REF!:Org!#REF!),SUMIF(Org!$A$10:Org!$A$610,"1020",Org!#REF!:Org!#REF!),SUMIF(Org!$A$10:Org!$A$610,"1090",Org!#REF!:Org!#REF!),SUMIF(Org!$A$10:Org!$A$610,"1040",Org!#REF!:Org!#REF!))</f>
        <v>#REF!</v>
      </c>
      <c r="D14" s="307">
        <f>SUM(SUMIF(Org!$A$10:Org!$A$610,"1011",Org!E$10:Org!E$610),SUMIF(Org!$A$10:Org!$A$610,"1020",Org!E$10:Org!E$610),SUMIF(Org!$A$10:Org!$A$610,"1090",Org!E$10:Org!E$610),SUMIF(Org!$A$9:Org!$A$610,"1070",Org!E$9:Org!E$610),SUMIF(Org!$A$10:Org!$A$610,"1040",Org!E$10:Org!E$610))</f>
        <v>4465890</v>
      </c>
      <c r="E14" s="307">
        <f>SUM(SUMIF(Org!$A$10:Org!$A$610,"1011",Org!F$10:Org!F$610),SUMIF(Org!$A$10:Org!$A$610,"1020",Org!F$10:Org!F$610),SUMIF(Org!$A$10:Org!$A$610,"1090",Org!F$10:Org!F$610),SUMIF(Org!$A$9:Org!$A$610,"1070",Org!F$9:Org!F$610),SUMIF(Org!$A$10:Org!$A$610,"1040",Org!F$10:Org!F$610))</f>
        <v>93725.5</v>
      </c>
      <c r="F14" s="307">
        <f>SUM(SUMIF(Org!$A$10:Org!$A$610,"1011",Org!G$10:Org!G$610),SUMIF(Org!$A$10:Org!$A$610,"1020",Org!G$10:Org!G$610),SUMIF(Org!$A$10:Org!$A$610,"1090",Org!G$10:Org!G$610),SUMIF(Org!$A$9:Org!$A$610,"1070",Org!G$9:Org!G$610),SUMIF(Org!$A$10:Org!$A$610,"1040",Org!G$10:Org!G$610))</f>
        <v>4559615.5</v>
      </c>
      <c r="G14" s="307">
        <f t="shared" si="0"/>
        <v>102.09869701224167</v>
      </c>
      <c r="H14" s="270">
        <f t="shared" si="1"/>
        <v>15.36506824468441</v>
      </c>
      <c r="I14" s="1"/>
      <c r="J14" s="1"/>
    </row>
    <row r="15" spans="1:10" ht="22.5" customHeight="1" thickBot="1">
      <c r="A15" s="309"/>
      <c r="B15" s="310" t="s">
        <v>331</v>
      </c>
      <c r="C15" s="311" t="e">
        <f>SUM(C5:C14)</f>
        <v>#REF!</v>
      </c>
      <c r="D15" s="311">
        <f>SUM(D5:D14)</f>
        <v>28079243.17</v>
      </c>
      <c r="E15" s="311">
        <f>SUM(E5:E14)</f>
        <v>1595961.83</v>
      </c>
      <c r="F15" s="311">
        <f>SUM(F5:F14)</f>
        <v>29675204.999999996</v>
      </c>
      <c r="G15" s="391">
        <f>F15/D15*100</f>
        <v>105.68377794350643</v>
      </c>
      <c r="H15" s="312">
        <f>F15/F15*100</f>
        <v>100</v>
      </c>
      <c r="I15" s="1"/>
      <c r="J15" s="1"/>
    </row>
    <row r="16" spans="3:10" ht="13.5" thickTop="1">
      <c r="C16" s="1"/>
      <c r="D16" s="1"/>
      <c r="E16" s="1"/>
      <c r="F16" s="1"/>
      <c r="G16" s="1"/>
      <c r="H16" s="1"/>
      <c r="J16" s="1"/>
    </row>
    <row r="17" spans="1:2" ht="17.25" customHeight="1" thickBot="1">
      <c r="A17" s="544" t="s">
        <v>383</v>
      </c>
      <c r="B17" s="544"/>
    </row>
    <row r="18" spans="1:9" ht="67.5" customHeight="1" thickTop="1">
      <c r="A18" s="313" t="s">
        <v>211</v>
      </c>
      <c r="B18" s="298" t="s">
        <v>378</v>
      </c>
      <c r="C18" s="306" t="s">
        <v>443</v>
      </c>
      <c r="D18" s="306" t="s">
        <v>690</v>
      </c>
      <c r="E18" s="306" t="s">
        <v>711</v>
      </c>
      <c r="F18" s="306" t="s">
        <v>691</v>
      </c>
      <c r="G18" s="306" t="s">
        <v>109</v>
      </c>
      <c r="H18" s="260" t="s">
        <v>114</v>
      </c>
      <c r="I18" s="468"/>
    </row>
    <row r="19" spans="1:8" ht="14.25" customHeight="1" thickBot="1">
      <c r="A19" s="113">
        <v>1</v>
      </c>
      <c r="B19" s="107">
        <v>2</v>
      </c>
      <c r="C19" s="114"/>
      <c r="D19" s="114" t="s">
        <v>421</v>
      </c>
      <c r="E19" s="114" t="s">
        <v>627</v>
      </c>
      <c r="F19" s="114" t="s">
        <v>629</v>
      </c>
      <c r="G19" s="114" t="s">
        <v>630</v>
      </c>
      <c r="H19" s="115">
        <v>7</v>
      </c>
    </row>
    <row r="20" spans="1:8" ht="12.75">
      <c r="A20" s="314" t="s">
        <v>379</v>
      </c>
      <c r="B20" s="315" t="s">
        <v>380</v>
      </c>
      <c r="C20" s="316" t="e">
        <f>C15-C21</f>
        <v>#REF!</v>
      </c>
      <c r="D20" s="316">
        <f>D15-D21</f>
        <v>25292973.110000003</v>
      </c>
      <c r="E20" s="316">
        <f>E15-E21</f>
        <v>525977.9300000002</v>
      </c>
      <c r="F20" s="316">
        <f>F15-F21</f>
        <v>21154751.039999995</v>
      </c>
      <c r="G20" s="415">
        <f>F20/D20*100</f>
        <v>83.63884683701383</v>
      </c>
      <c r="H20" s="317">
        <f>F20/F22*100</f>
        <v>71.28763235165519</v>
      </c>
    </row>
    <row r="21" spans="1:9" ht="13.5" thickBot="1">
      <c r="A21" s="318" t="s">
        <v>381</v>
      </c>
      <c r="B21" s="319" t="s">
        <v>382</v>
      </c>
      <c r="C21" s="276" t="e">
        <f>SUM(SUMIF(Org!$A$10:Org!$A$610,"0734",Org!#REF!:Org!#REF!),SUMIF(Org!$A$10:Org!$A$610,"0740",Org!#REF!:Org!#REF!),SUMIF(Org!$A$10:Org!$A$610,"0810",Org!#REF!:Org!#REF!),SUMIF(Org!$A$10:Org!$A$610,"0820",Org!#REF!:Org!#REF!),SUMIF(Org!$A$10:Org!$A$610,"0911",Org!#REF!:Org!#REF!),SUMIF(Org!$A$10:Org!$A$610,"0912",Org!#REF!:Org!#REF!),SUMIF(Org!$A$10:Org!$A$610,"0921",Org!#REF!:Org!#REF!),SUMIF(Org!$A$10:Org!$A$610,"0922",Org!#REF!:Org!#REF!),SUMIF(Org!$A$10:Org!$A$610,"0941",Org!#REF!:Org!#REF!),SUMIF(Org!$A$10:Org!$A$610,"1011",Org!#REF!:Org!#REF!),SUMIF(Org!$A$10:Org!$A$610,"1020",Org!#REF!:Org!#REF!),SUMIF(Org!$A$10:Org!$A$610,"1040",Org!#REF!:Org!#REF!))-'B.pr. i prim. za nef. im.'!#REF!</f>
        <v>#REF!</v>
      </c>
      <c r="D21" s="276">
        <f>SUM(SUMIF(Org!$A$10:Org!$A$610,"0734",Org!E$10:Org!E$610),SUMIF(Org!$A$10:Org!$A$610,"0740",Org!E$10:Org!E$610),SUMIF(Org!$A$10:Org!$A$610,"0810",Org!E$10:Org!E$610),SUMIF(Org!$A$10:Org!$A$610,"0820",Org!E$10:Org!E$610),SUMIF(Org!$A$10:Org!$A$610,"0911",Org!E$10:Org!E$610),SUMIF(Org!$A$10:Org!$A$610,"0912",Org!E$10:Org!E$610),SUMIF(Org!$A$10:Org!$A$610,"0921",Org!E$10:Org!E$610),SUMIF(Org!$A$10:Org!$A$610,"0922",Org!E$10:Org!E$610),SUMIF(Org!$A$10:Org!$A$610,"0941",Org!E$10:Org!E$610),SUMIF(Org!$A$10:Org!$A$610,"1011",Org!E$10:Org!E$610),SUMIF(Org!$A$10:Org!$A$610,"1020",Org!E$10:Org!E$610),SUMIF(Org!$A$10:Org!$A$610,"1040",Org!E$10:Org!E$610))-'B.pr. i prim. za nef. im.'!D115</f>
        <v>2786270.06</v>
      </c>
      <c r="E21" s="276">
        <f>SUM(SUMIF(Org!$A$10:Org!$A$610,"0734",Org!F$10:Org!F$610),SUMIF(Org!$A$10:Org!$A$610,"0721",Org!F$10:Org!F$610),SUMIF(Org!$A$10:Org!$A$610,"0740",Org!F$10:Org!F$610),SUMIF(Org!$A$10:Org!$A$610,"0810",Org!F$10:Org!F$610),SUMIF(Org!$A$10:Org!$A$610,"0820",Org!F$10:Org!F$610),SUMIF(Org!$A$10:Org!$A$610,"0911",Org!F$10:Org!F$610),SUMIF(Org!$A$10:Org!$A$610,"0912",Org!F$10:Org!F$610),SUMIF(Org!$A$10:Org!$A$610,"0921",Org!F$10:Org!F$610),SUMIF(Org!$A$10:Org!$A$610,"0922",Org!F$10:Org!F$610),SUMIF(Org!$A$10:Org!$A$610,"0941",Org!F$10:Org!F$610),SUMIF(Org!$A$10:Org!$A$610,"1011",Org!F$10:Org!F$610),SUMIF(Org!$A$10:Org!$A$610,"1020",Org!F$10:Org!F$610),SUMIF(Org!$A$10:Org!$A$610,"1040",Org!F$10:Org!F$610))-'B.pr. i prim. za nef. im.'!E115-'B.pr. i prim. za nef. im.'!F113</f>
        <v>1069983.9</v>
      </c>
      <c r="F21" s="276">
        <f>SUM(SUMIF(Org!$A$10:Org!$A$610,"0734",Org!G$10:Org!G$610),SUMIF(Org!$A$10:Org!$A$610,"0721",Org!G$10:Org!G$610),SUMIF(Org!$A$10:Org!$A$610,"0740",Org!G$10:Org!G$610),SUMIF(Org!$A$10:Org!$A$610,"0810",Org!G$10:Org!G$610),SUMIF(Org!$A$10:Org!$A$610,"0820",Org!G$10:Org!G$610),SUMIF(Org!$A$10:Org!$A$610,"0911",Org!G$10:Org!G$610),SUMIF(Org!$A$10:Org!$A$610,"0912",Org!G$10:Org!G$610),SUMIF(Org!$A$10:Org!$A$610,"0921",Org!G$10:Org!G$610),SUMIF(Org!$A$10:Org!$A$610,"0922",Org!G$10:Org!G$610),SUMIF(Org!$A$10:Org!$A$610,"0941",Org!G$10:Org!G$610),SUMIF(Org!$A$10:Org!$A$610,"1011",Org!G$10:Org!G$610),SUMIF(Org!$A$10:Org!$A$610,"1020",Org!G$10:Org!G$610),SUMIF(Org!$A$10:Org!$A$610,"1040",Org!G$10:Org!G$610))-'B.pr. i prim. za nef. im.'!F115-'B.pr. i prim. za nef. im.'!F113</f>
        <v>8520453.96</v>
      </c>
      <c r="G21" s="416">
        <f>F21/D21*100</f>
        <v>305.8014397929539</v>
      </c>
      <c r="H21" s="320">
        <f>F21/F22*100</f>
        <v>28.71236764834481</v>
      </c>
      <c r="I21" s="1"/>
    </row>
    <row r="22" spans="1:10" ht="20.25" customHeight="1" thickBot="1">
      <c r="A22" s="309"/>
      <c r="B22" s="310" t="s">
        <v>331</v>
      </c>
      <c r="C22" s="321" t="e">
        <f>SUM(C20:C21)</f>
        <v>#REF!</v>
      </c>
      <c r="D22" s="321">
        <f>SUM(D20:D21)</f>
        <v>28079243.17</v>
      </c>
      <c r="E22" s="321">
        <f>SUM(E20:E21)</f>
        <v>1595961.83</v>
      </c>
      <c r="F22" s="321">
        <f>SUM(F20:F21)</f>
        <v>29675204.999999996</v>
      </c>
      <c r="G22" s="321">
        <f>F22/D22*100</f>
        <v>105.68377794350643</v>
      </c>
      <c r="H22" s="322">
        <f>F22/F22*100</f>
        <v>100</v>
      </c>
      <c r="J22" s="1"/>
    </row>
    <row r="23" spans="1:8" ht="20.25" customHeight="1" thickTop="1">
      <c r="A23" s="26"/>
      <c r="B23" s="26"/>
      <c r="C23" s="26"/>
      <c r="D23" s="26"/>
      <c r="E23" s="26"/>
      <c r="F23" s="26"/>
      <c r="G23" s="26"/>
      <c r="H23" s="26"/>
    </row>
    <row r="24" spans="1:10" ht="15" customHeight="1">
      <c r="A24" s="26"/>
      <c r="B24" s="32"/>
      <c r="C24" s="43"/>
      <c r="D24" s="43"/>
      <c r="E24" s="43"/>
      <c r="F24" s="43"/>
      <c r="G24" s="26"/>
      <c r="H24" s="26"/>
      <c r="J24" s="1"/>
    </row>
    <row r="25" spans="5:6" ht="15.75" customHeight="1" hidden="1">
      <c r="E25" s="1">
        <f>'B.pr. i prim. za nef. im.'!E108+'B.rash. i izdaci za nef. im.'!D43+Finansiranje!D28</f>
        <v>-35961.829999999994</v>
      </c>
      <c r="F25" s="1">
        <f>'opsti dio'!E38+'opsti dio'!E35+'opsti dio'!E56+'opsti dio'!E63</f>
        <v>2344795</v>
      </c>
    </row>
    <row r="26" spans="5:6" ht="30" customHeight="1" hidden="1">
      <c r="E26" s="1">
        <f>E22+E25</f>
        <v>1560000</v>
      </c>
      <c r="F26" s="1">
        <f>F22+F25</f>
        <v>32019999.999999996</v>
      </c>
    </row>
    <row r="27" ht="12.75">
      <c r="J27" s="1"/>
    </row>
    <row r="29" ht="34.5" customHeight="1">
      <c r="D29" s="1"/>
    </row>
    <row r="31" ht="12.75">
      <c r="D31" s="1"/>
    </row>
    <row r="32" ht="12.75">
      <c r="D32" s="1"/>
    </row>
    <row r="33" ht="12.75">
      <c r="D33" s="1"/>
    </row>
  </sheetData>
  <sheetProtection/>
  <mergeCells count="3">
    <mergeCell ref="A1:H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scale="110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cp:lastPrinted>2022-11-03T07:04:07Z</cp:lastPrinted>
  <dcterms:created xsi:type="dcterms:W3CDTF">2006-03-15T13:27:57Z</dcterms:created>
  <dcterms:modified xsi:type="dcterms:W3CDTF">2022-11-17T08:20:55Z</dcterms:modified>
  <cp:category/>
  <cp:version/>
  <cp:contentType/>
  <cp:contentStatus/>
</cp:coreProperties>
</file>