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7320" firstSheet="2" activeTab="5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Area" localSheetId="2">'B.pr. i prim. za nef. im.'!$A$1:$H$113</definedName>
    <definedName name="_xlnm.Print_Area" localSheetId="3">'B.rash. i izdaci za nef. im.'!$A$1:$G$65</definedName>
    <definedName name="_xlnm.Print_Area" localSheetId="4">'Finansiranje'!$A$1:$E$49</definedName>
    <definedName name="_xlnm.Print_Area" localSheetId="6">'Funkc. kl.'!$A$1:$H$22</definedName>
    <definedName name="_xlnm.Print_Area" localSheetId="1">'opsti dio'!$A$1:$F$67</definedName>
    <definedName name="_xlnm.Print_Area" localSheetId="5">'Org'!$A$1:$I$604</definedName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</definedNames>
  <calcPr fullCalcOnLoad="1"/>
</workbook>
</file>

<file path=xl/sharedStrings.xml><?xml version="1.0" encoding="utf-8"?>
<sst xmlns="http://schemas.openxmlformats.org/spreadsheetml/2006/main" count="1349" uniqueCount="703">
  <si>
    <t>Трошкови репрезентације</t>
  </si>
  <si>
    <t>Помоћи појединцима</t>
  </si>
  <si>
    <t>Набавка опреме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</si>
  <si>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</si>
  <si>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</si>
  <si>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</si>
  <si>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</si>
  <si>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</si>
  <si>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</si>
  <si>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добитке од игара на срећу</t>
  </si>
  <si>
    <t>Приходи од земљишне ренте</t>
  </si>
  <si>
    <t>Административне таксе</t>
  </si>
  <si>
    <t>Општинске административне таксе</t>
  </si>
  <si>
    <t>Комуналне таксе</t>
  </si>
  <si>
    <t>Комуналне таксе за приређивање музичког програма у угоститељским објектима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</si>
  <si>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</si>
  <si>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</si>
  <si>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</si>
  <si>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</si>
  <si>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 xml:space="preserve">Новчане казне </t>
  </si>
  <si>
    <t>Остали непорески приходи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</si>
  <si>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</si>
  <si>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</si>
  <si>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</si>
  <si>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</si>
  <si>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</si>
  <si>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</si>
  <si>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</si>
  <si>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</si>
  <si>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</si>
  <si>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</si>
  <si>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</si>
  <si>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</si>
  <si>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0830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</si>
  <si>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</si>
  <si>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</si>
  <si>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</si>
  <si>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</si>
  <si>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</si>
  <si>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</si>
  <si>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</si>
  <si>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</si>
  <si>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</si>
  <si>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</si>
  <si>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</si>
  <si>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</si>
  <si>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</si>
  <si>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</si>
  <si>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</si>
  <si>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</si>
  <si>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</si>
  <si>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</si>
  <si>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</si>
  <si>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</si>
  <si>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</si>
  <si>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</si>
  <si>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</si>
  <si>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</si>
  <si>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</si>
  <si>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</si>
  <si>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</si>
  <si>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</si>
  <si>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</si>
  <si>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</si>
  <si>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</si>
  <si>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</si>
  <si>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</si>
  <si>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</si>
  <si>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</si>
  <si>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</si>
  <si>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</si>
  <si>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</si>
  <si>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</si>
  <si>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</si>
  <si>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</si>
  <si>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</si>
  <si>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</si>
  <si>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</si>
  <si>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</si>
  <si>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</si>
  <si>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</si>
  <si>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</si>
  <si>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</si>
  <si>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</si>
  <si>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</si>
  <si>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</si>
  <si>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</si>
  <si>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</si>
  <si>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</si>
  <si>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</si>
  <si>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</si>
  <si>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ЈП " Радио Прњавор "</t>
  </si>
  <si>
    <t>Удружење пензионера</t>
  </si>
  <si>
    <t>Накнаде одборника и чланова скупштинских комисија</t>
  </si>
  <si>
    <t>Чланарина у Савезу општина и градова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</si>
  <si>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</si>
  <si>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</si>
  <si>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</si>
  <si>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</si>
  <si>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</si>
  <si>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</si>
  <si>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</si>
  <si>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</si>
  <si>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</si>
  <si>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</si>
  <si>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</si>
  <si>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</si>
  <si>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</si>
  <si>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</si>
  <si>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</si>
  <si>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</si>
  <si>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</si>
  <si>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Трошкови електричне енергије за јавну расвјету
(у граду и мјесним заједницама)</t>
  </si>
  <si>
    <t>Средства за мјере превентивне здравствене заштите животиња</t>
  </si>
  <si>
    <t>% 
учешћа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</si>
  <si>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</si>
  <si>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</si>
  <si>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</si>
  <si>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</si>
  <si>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</si>
  <si>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</si>
  <si>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</si>
  <si>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</si>
  <si>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</si>
  <si>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</si>
  <si>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</si>
  <si>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</si>
  <si>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</si>
  <si>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</si>
  <si>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</si>
  <si>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</si>
  <si>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</si>
  <si>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</si>
  <si>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</si>
  <si>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</si>
  <si>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</si>
  <si>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буџета Републике, општина и градова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</si>
  <si>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</si>
  <si>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</si>
  <si>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</si>
  <si>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</si>
  <si>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</si>
  <si>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Дознаке на име социјалне заштите које се исплаћују из буџета  општине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</si>
  <si>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</si>
  <si>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</si>
  <si>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</si>
  <si>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</si>
  <si>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</si>
  <si>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Инвестиционо  одржавање, реконструкција и адаптација зграда и објеката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</si>
  <si>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</si>
  <si>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</si>
  <si>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</si>
  <si>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</si>
  <si>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</si>
  <si>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</si>
  <si>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</si>
  <si>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</si>
  <si>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</si>
  <si>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</si>
  <si>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</si>
  <si>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</si>
  <si>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</si>
  <si>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</si>
  <si>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</si>
  <si>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</si>
  <si>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</si>
  <si>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</si>
  <si>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</si>
  <si>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</si>
  <si>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</si>
  <si>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</si>
  <si>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</si>
  <si>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Набавка грађевинског материјала за изградњу пропуста, мостова и других објеката</t>
  </si>
  <si>
    <t>Расходи поводом манифестација за празничне дане општине</t>
  </si>
  <si>
    <t>Субвенције</t>
  </si>
  <si>
    <t>Подстицаји пољопривредним произвођачима</t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</si>
  <si>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</si>
  <si>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</si>
  <si>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</si>
  <si>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</si>
  <si>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</si>
  <si>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</si>
  <si>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</si>
  <si>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Трошкови ископа, чишћења канала и других земљаних радова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</si>
  <si>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</si>
  <si>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</si>
  <si>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</si>
  <si>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</si>
  <si>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</si>
  <si>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Помоћ пројектима за одржив повратак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</si>
  <si>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</si>
  <si>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</si>
  <si>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</si>
  <si>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</si>
  <si>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</si>
  <si>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</si>
  <si>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Борачка организација општине Прњавор</t>
  </si>
  <si>
    <t>Удружење РВИ општине Прњавор</t>
  </si>
  <si>
    <t>ОО породица заробљених и погинулих бораца и несталих цивила Прњавор</t>
  </si>
  <si>
    <t>Удружење СУБНОР-а</t>
  </si>
  <si>
    <t xml:space="preserve"> </t>
  </si>
  <si>
    <t>Средства за превоз ђака основних школа</t>
  </si>
  <si>
    <t>Фун. код</t>
  </si>
  <si>
    <t>О П И С</t>
  </si>
  <si>
    <t>Плакете, повеље, награде и признања општине</t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</si>
  <si>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</si>
  <si>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</si>
  <si>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</si>
  <si>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</si>
  <si>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Финансирање Општинске изборне комисије</t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</si>
  <si>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</si>
  <si>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</si>
  <si>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Трошкови камате за робни кредит Краљевине Шпаније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</si>
  <si>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</si>
  <si>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</si>
  <si>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</si>
  <si>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</si>
  <si>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</si>
  <si>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</si>
  <si>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</si>
  <si>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</si>
  <si>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</si>
  <si>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</si>
  <si>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Новчане казне изречене у прекршајном поступку за прекршаје прописане актом СО-е 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</si>
  <si>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</si>
  <si>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</si>
  <si>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</si>
  <si>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</si>
  <si>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</si>
  <si>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</si>
  <si>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Издаци за прибављање земљишта (потпуна експропријација)</t>
  </si>
  <si>
    <t>Трошкови закупнине паркинг простора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</si>
  <si>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</si>
  <si>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</si>
  <si>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</si>
  <si>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t>ЈУ Центар средњих школа "Иво Андрић" Прњавор</t>
  </si>
  <si>
    <t>Средства за набавку уџбеника и за остале организоване активности за дјецу бораца ВРС и РВИ</t>
  </si>
  <si>
    <t>Поклон пакети за дјецу нижег узраста</t>
  </si>
  <si>
    <t>Једнократне новчане помоћи појединцима из борачке популације</t>
  </si>
  <si>
    <t>ЈУ Гимназија Прњавор</t>
  </si>
  <si>
    <t>Средства за подстицај и развој спорта</t>
  </si>
  <si>
    <t>Средства за  спомен собу посвећену одбрамбено-отаџбинском рату РС 1991-1995. године</t>
  </si>
  <si>
    <t>Издаци за залихе ситног инвентара, ауто-гума, одјеће, обуће и сл.</t>
  </si>
  <si>
    <t>Трошкови одржавања локалне путне мреже (уређење путног појаса, ископи, бетонски, армирано-бетонски и асфалтни радови)</t>
  </si>
  <si>
    <t>Мјере за побољшање демографске ситуације (вантјелесна оплодња и сл.)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</si>
  <si>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</si>
  <si>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</si>
  <si>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</si>
  <si>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</si>
  <si>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</si>
  <si>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</si>
  <si>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</si>
  <si>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</si>
  <si>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</si>
  <si>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</si>
  <si>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</si>
  <si>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</si>
  <si>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</si>
  <si>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</si>
  <si>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</si>
  <si>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</si>
  <si>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</si>
  <si>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</si>
  <si>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</si>
  <si>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</si>
  <si>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t>Расходи за лична примања запослених у Општинској управи</t>
  </si>
  <si>
    <t>Расходи за стручно усавршавање запослених Општинске управе</t>
  </si>
  <si>
    <t>Расходи за стручне услуге Општинске управе</t>
  </si>
  <si>
    <t>Укупни расходи за потрошачку
 јединицу бр.  00750125</t>
  </si>
  <si>
    <t>****</t>
  </si>
  <si>
    <t>Укупни расходи за потрошачку 
јединицу бр. 08180068</t>
  </si>
  <si>
    <t>Уређење корита ријека и потока из намјенских средстава за воде</t>
  </si>
  <si>
    <t>Средства за обуку структура заштите и спасавања</t>
  </si>
  <si>
    <t>Набавка опреме - цивилна заштита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</si>
  <si>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</si>
  <si>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</si>
  <si>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</si>
  <si>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</si>
  <si>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t>Издаци за залихе материјала, робе и ситног инвентара, 
амбалаже и сл.</t>
  </si>
  <si>
    <t>Концесионе накнаде за коришћење природних и других добара од општег интереса</t>
  </si>
  <si>
    <t>Накнада за уређивање грађевинског земљишта</t>
  </si>
  <si>
    <t>Накнада за коришћење шума и шумског земљишта - средства за развој неразвијених дијелова општине остварена продајом шумских сортимената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</si>
  <si>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</si>
  <si>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</si>
  <si>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</si>
  <si>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t>Издаци за залихе материјала, робе и ситног инвентара</t>
  </si>
  <si>
    <t>Издаци за залихе ситног инвентара, одјеће и обуће</t>
  </si>
  <si>
    <t>0422</t>
  </si>
  <si>
    <t xml:space="preserve">Грантови добровољним ватрогасним друштвима општине Прњавор 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</si>
  <si>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</si>
  <si>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Плакете, повеље, награде и признања Начелника општине</t>
  </si>
  <si>
    <t>Израда шумскопривредног основа</t>
  </si>
  <si>
    <t>*******</t>
  </si>
  <si>
    <t>Примици од зајмова узетих од банака</t>
  </si>
  <si>
    <t>Инвестиционо одржавање опреме</t>
  </si>
  <si>
    <t>Издаци за отплату осталих дугова</t>
  </si>
  <si>
    <t>Издаци за залихе материјала, робе и ситног инвентара, амбалаже и сл.</t>
  </si>
  <si>
    <t>Капиталне инвестиције из домаћих прихода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</si>
  <si>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</si>
  <si>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</si>
  <si>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</si>
  <si>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</si>
  <si>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</si>
  <si>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</si>
  <si>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</si>
  <si>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</si>
  <si>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</si>
  <si>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</si>
  <si>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</si>
  <si>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</si>
  <si>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</si>
  <si>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</si>
  <si>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</si>
  <si>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</si>
  <si>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</si>
  <si>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</si>
  <si>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</si>
  <si>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</si>
  <si>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</si>
  <si>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</si>
  <si>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Трансфери између  различитих јединица 
власти</t>
  </si>
  <si>
    <t>Расходи за бруто плате запослених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</si>
  <si>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</si>
  <si>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</si>
  <si>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</si>
  <si>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</si>
  <si>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</si>
  <si>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</si>
  <si>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</si>
  <si>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</si>
  <si>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</si>
  <si>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</si>
  <si>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</si>
  <si>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</si>
  <si>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ФИНАНСИРАЊЕ (А+Б+В+Г)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</si>
  <si>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</si>
  <si>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</si>
  <si>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</si>
  <si>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</si>
  <si>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Порези на имовину - порез на непокретности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</si>
  <si>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</si>
  <si>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</si>
  <si>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</si>
  <si>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Финансирање Кола српских сестара Прњавор</t>
  </si>
  <si>
    <t>Финансирање СРД "Укрински цвијет" Прњавор</t>
  </si>
  <si>
    <t>Финансирање Општинске организације слијепих  Прњавор</t>
  </si>
  <si>
    <t>0860</t>
  </si>
  <si>
    <t xml:space="preserve">Удружење грађана  "Ветерани Републике Српске" </t>
  </si>
  <si>
    <t>Посебна републичка такса на нафтне деривате</t>
  </si>
  <si>
    <t>Остали непоменути расходи - припрема дјеце за полазак у школу из дозначене помоћи Министарства просвјете и културе РС</t>
  </si>
  <si>
    <t>Расходи по основу судских рјешења</t>
  </si>
  <si>
    <t>Трансфери јединицама локалне самоуправе</t>
  </si>
  <si>
    <t>Отплата дуга по кредиту Краљевине Шпаније</t>
  </si>
  <si>
    <t>Остали издаци из трансакција са другим јединицама власти</t>
  </si>
  <si>
    <t>Трансфери ентитету</t>
  </si>
  <si>
    <t xml:space="preserve">Остали издаци из трансакција између или унутар јединица власти </t>
  </si>
  <si>
    <t>411000</t>
  </si>
  <si>
    <t>412000</t>
  </si>
  <si>
    <t>Укупни расходи за потрошачку
 јединицу бр.  08400005</t>
  </si>
  <si>
    <t>ЈУ Музичка школа "Константин Бабић" Прњавор</t>
  </si>
  <si>
    <t>Остали примици из трансакција између или унутар јединица власти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</si>
  <si>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</si>
  <si>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Остали издаци (рефундација прихода по основу књижних обавјештења добијених од Пореске управе)</t>
  </si>
  <si>
    <t>Остали издаци ( поврат/прекњижавање прихода наплаћених у претходној или ранијим годинама)</t>
  </si>
  <si>
    <t>Остали издаци (поврат/прекњижавање прихода наплаћених у претходној или ранијим годинама)</t>
  </si>
  <si>
    <t>Трансфери од ентитета  (поравнање јавних прихода по записницима Пореске управе)</t>
  </si>
  <si>
    <t>419000</t>
  </si>
  <si>
    <t>513000</t>
  </si>
  <si>
    <t>Трошкови обештећења по судским  пресудама и трошкови поступка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</si>
  <si>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</si>
  <si>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Обавезе између јединица власти по основу записника Пореске управе РС о обрачуну и поравнању више и погрешно уплаћених јавних прихода</t>
  </si>
  <si>
    <t>Камата на кредит од 7.000.000,00 КМ</t>
  </si>
  <si>
    <t>Отплата дуга по кредиту од 7.000,000,00 КМ</t>
  </si>
  <si>
    <t>714111-714311</t>
  </si>
  <si>
    <t>Трансфери од јединица локалнe самоуправe  (поравнање јавних прихода по записницима Пореске управе)</t>
  </si>
  <si>
    <t>Остали општински непорески приходи</t>
  </si>
  <si>
    <t>ЈУ Центар за социјални рад Прњавор</t>
  </si>
  <si>
    <t>ЈУ Центар за културу Прњавор</t>
  </si>
  <si>
    <t>ЈУ Дјечији вртић "Наша радост" Прњавор</t>
  </si>
  <si>
    <t>ЈУ Народна библиотека Прњавор</t>
  </si>
  <si>
    <t>Неутрошена намјенска средства из ранијих година од накнада за коришћење шума - средстава за развој неразвијених дијелова општине остварених продајом шумских сортимената</t>
  </si>
  <si>
    <t>Табела бр. 1</t>
  </si>
  <si>
    <t>Функција</t>
  </si>
  <si>
    <t>ЗУ</t>
  </si>
  <si>
    <t>Заједничке услуге</t>
  </si>
  <si>
    <t>ИУ</t>
  </si>
  <si>
    <t>Индивидуалне услуге</t>
  </si>
  <si>
    <t>Табела бр. 2</t>
  </si>
  <si>
    <t>Грант КП,,Водовод" АД - набавка опреме</t>
  </si>
  <si>
    <t>Расходи по основу организације, пријема, манифестација и остали расходи</t>
  </si>
  <si>
    <t>Трансфери од фондова обавезног социјалног осигурања (поравнање јавних прихода по записницима Пореске управе)</t>
  </si>
  <si>
    <t>Неутрошене примљене донације из ранијег периода од Ватрогасног савеза Републике Српске за унапређење заштите од пожара</t>
  </si>
  <si>
    <t>Трансфер Фонду солидарности за дијагностику и лијечење обољења, стања и повреда дјеце у иностранству</t>
  </si>
  <si>
    <t>Расходи финансирања и други финансијски трошкови између јединица власти</t>
  </si>
  <si>
    <t>Издаци за отплату дугова из трансакција између или унутар јединица власти</t>
  </si>
  <si>
    <t>Издаци за отплату главнице зајмова примљених од других јединица власти</t>
  </si>
  <si>
    <t>Расходи по основу камата на зајмове примљене од других јединица власти</t>
  </si>
  <si>
    <t>Издаци за отплату дугова према другим јединицама власти</t>
  </si>
  <si>
    <t>Примици од задуживања</t>
  </si>
  <si>
    <t xml:space="preserve">Издаци за отплату дугова </t>
  </si>
  <si>
    <t>Трошкови одржавања локалне путне мреже (набавка, превоз и уградња посипног материјала, гредер)</t>
  </si>
  <si>
    <t>0412</t>
  </si>
  <si>
    <t>Средства за студентске награде - посебни резултати током школовања</t>
  </si>
  <si>
    <t>170-03 План капиталних улагања</t>
  </si>
  <si>
    <t>Укупни расходи за потрошачку
 јединицу бр.  00750241</t>
  </si>
  <si>
    <t>Изградња споменика погинулим борцима у МЗ Кремна - средства Министарства рада и борачко-инвалидске заштите</t>
  </si>
  <si>
    <t>Накнаде за воде - посебне водне накнаде 
(722442-722448, 722457, 722463, 722464, 722465, 722469)</t>
  </si>
  <si>
    <t>Текуће одржавање путева на неразвијеним дијеловима општине</t>
  </si>
  <si>
    <t>Расходи за накнаду плата запослених за вријеме боловања, родитељског одсуства и осталих накнада плата</t>
  </si>
  <si>
    <t>Субвенционисање трошкова комуналних водних услуга социјално угроженим корисницима на подручју општине Прњавор</t>
  </si>
  <si>
    <t>Расходи финансирања, други финансијски трошкови и расходи трансакција размјене између јединица власти</t>
  </si>
  <si>
    <t>Расходи из трансакције размјене између јединица власти</t>
  </si>
  <si>
    <t>1020</t>
  </si>
  <si>
    <t>Грантови из иностранства</t>
  </si>
  <si>
    <t>Трансфер Министарства просвјете и културе РС Дјечијем вртићу "Наша радост" за програм припреме дјеце за полазак у школу</t>
  </si>
  <si>
    <t>Грант Савјета Европе за пројекат "Промоција едукативних садржаја о националним мањинама у основношколском образовању"</t>
  </si>
  <si>
    <t>Накнаде за личну инвалиднину из средстава Министарства здравља и социјалне заштите</t>
  </si>
  <si>
    <t>Неутрошена намјенска средства из 2017. године - трансфер Министарства просвјете и културе РС на име суфинансирања санације Основне школе "Милош Црњански" Поточани</t>
  </si>
  <si>
    <t>Субвенције за легализацију бесправно изграђених објеката</t>
  </si>
  <si>
    <t>Расходи по основу закупа - пројекат "Наша продавница"</t>
  </si>
  <si>
    <t>Расходи за бруто накнаде члановима управног одбора</t>
  </si>
  <si>
    <t>Средства за реализацију акционог плана за равноправност полова</t>
  </si>
  <si>
    <t>И) РАСПОДЈЕЛА СУФИЦИТА ИЗ РАНИЈЕГ ПЕРИОДА</t>
  </si>
  <si>
    <t>Г) РАСПОДЈЕЛА СУФИЦИТА ИЗ РАНИЈЕГ ПЕРИОДА</t>
  </si>
  <si>
    <t>Издаци по основу аванса</t>
  </si>
  <si>
    <t>3</t>
  </si>
  <si>
    <t>Акцизе</t>
  </si>
  <si>
    <t>Порези на промет производа</t>
  </si>
  <si>
    <t>Порези на промет услуга</t>
  </si>
  <si>
    <t>Трансфер Министарства здравља и социјалне заштите РС Центру за социјални рад за накнаде за личну инвалиднину</t>
  </si>
  <si>
    <t>Акциони план за имплементацију стратегије за инклузију Рома</t>
  </si>
  <si>
    <t>Расходи за материјал за текуће одржавање</t>
  </si>
  <si>
    <t>ОО организације старјешина ВРС</t>
  </si>
  <si>
    <t>Обиљежавање Риболовног купа  РВИ</t>
  </si>
  <si>
    <t>Подка-
тегорија</t>
  </si>
  <si>
    <t>Изградња и реконструкција објеката водоснабдијевања (базени, цјевоводи, изворишта, чесме и др.) из намјенских ср. за воде</t>
  </si>
  <si>
    <t>Изједначавање могућности дјеце и омладине са сметњама у развоју из средстава Министарства здравља и социјалне заштите</t>
  </si>
  <si>
    <t>Средства за имплементацију пројекта "Омладинска банка"</t>
  </si>
  <si>
    <t>Средства за студентске картице</t>
  </si>
  <si>
    <t>Издаци за изградњу и прибављање стамбених јединица и објеката</t>
  </si>
  <si>
    <t>Подршка развоју задругарства</t>
  </si>
  <si>
    <t>Укупни расходи за потрошачку
 јединицу бр.  00750126</t>
  </si>
  <si>
    <t>Средства за трошкове обиљежавања значајних датума (за трошкове вијенаца, цвијећа, свијећа и др.)</t>
  </si>
  <si>
    <t>Средства за боравак лица у локалном карантину</t>
  </si>
  <si>
    <t>Трошкови непотпуне експропријације, процјене, вјештачења, накнаде штета и слично</t>
  </si>
  <si>
    <t>Субвенције закупнине стамбених јединица социјалног становања</t>
  </si>
  <si>
    <t>Једнократна новчана помоћ комуналним полицајцима из средстава Фонда солидарности за обнову РС</t>
  </si>
  <si>
    <t>Неутрошена намјенска средства из 2019. године - трансфер Републичког секретеријата за расељена лица и миграције за изградњу улице Милана Тепића</t>
  </si>
  <si>
    <t>Буџет за 
2021. годину</t>
  </si>
  <si>
    <t>Трошкови провођења избора за чланове Савјета мјесних заједница</t>
  </si>
  <si>
    <t>Помоћ сеоским водоводима из намјенских средстава за воде</t>
  </si>
  <si>
    <t>Сервисни трошкови школовања дјеце са сметњама у развоју</t>
  </si>
  <si>
    <t>Сервисни трошкови школовања дјеце са сметњама у развоју - смјештај у хранитељску породицу</t>
  </si>
  <si>
    <t>Неутрошена намјенска средства из 2019. године - грант Савјета Европе за пројекат "Промоција  за изградњу канализационе мреже по пројекту ROMACTED</t>
  </si>
  <si>
    <t>Расходи по основу путовања и смјештаја запослених Општинске управе</t>
  </si>
  <si>
    <t>Трошкови сервисирања зајмова примљених у земљи</t>
  </si>
  <si>
    <t>Неутрошена намјенска средства од посебних накнада за шуме из ранијих година</t>
  </si>
  <si>
    <t>Субвенционисање комуналних такса  за истицање пословног имена</t>
  </si>
  <si>
    <t>Грант Савјета Европе  за помоћ Ромској заједници усљед пандемије COVID-a</t>
  </si>
  <si>
    <t>Трансфери унутар исте јединице власти</t>
  </si>
  <si>
    <t>717111-717112</t>
  </si>
  <si>
    <r>
      <t xml:space="preserve">Трошкови репрезентације- </t>
    </r>
    <r>
      <rPr>
        <b/>
        <sz val="10"/>
        <rFont val="Times New Roman"/>
        <family val="1"/>
      </rPr>
      <t>буџетска резерва</t>
    </r>
  </si>
  <si>
    <r>
      <t xml:space="preserve">Плакете, повеље, награде и признања Начелника општине 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</si>
  <si>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Црвеног крста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</si>
  <si>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подстицај и развој спорта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</si>
  <si>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</si>
  <si>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Кола српских сестара Прњавор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</si>
  <si>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националних мањина - </t>
    </r>
    <r>
      <rPr>
        <b/>
        <sz val="10"/>
        <rFont val="Times New Roman"/>
        <family val="1"/>
      </rPr>
      <t>буџетска резерва</t>
    </r>
  </si>
  <si>
    <r>
      <t xml:space="preserve">Удружење пензионера - </t>
    </r>
    <r>
      <rPr>
        <b/>
        <sz val="10"/>
        <rFont val="Times New Roman"/>
        <family val="1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</si>
  <si>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</si>
  <si>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пројекат "Дневни центар за дјецу и омладину ометену у физичком и психичком развоју" Прњавор - </t>
    </r>
    <r>
      <rPr>
        <b/>
        <sz val="10"/>
        <rFont val="Times New Roman"/>
        <family val="1"/>
      </rPr>
      <t>буџетска резерва</t>
    </r>
  </si>
  <si>
    <r>
      <t xml:space="preserve">ЈП " Радио Прњавор " - </t>
    </r>
    <r>
      <rPr>
        <b/>
        <sz val="10"/>
        <rFont val="Times New Roman"/>
        <family val="1"/>
      </rPr>
      <t>буџетска резерва</t>
    </r>
  </si>
  <si>
    <r>
      <t xml:space="preserve">Помоћ основним школама - </t>
    </r>
    <r>
      <rPr>
        <b/>
        <sz val="10"/>
        <rFont val="Times New Roman"/>
        <family val="1"/>
      </rPr>
      <t>буџетска резерва</t>
    </r>
  </si>
  <si>
    <r>
      <t>Трошкови провизије за електронску наплату паркинга 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преноса података видео надзора</t>
    </r>
  </si>
  <si>
    <r>
      <t xml:space="preserve">Борачка организација општине Прњавор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</si>
  <si>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остале трошкове обиљежавања значајних датума (за трошкове вијенаца, цвијећа, свијећа и др.) - </t>
    </r>
    <r>
      <rPr>
        <b/>
        <sz val="10"/>
        <rFont val="Times New Roman"/>
        <family val="1"/>
      </rPr>
      <t>буџетска резерва</t>
    </r>
  </si>
  <si>
    <r>
      <t xml:space="preserve">Једнократне новчане помоћи појединцима из борачке популације - </t>
    </r>
    <r>
      <rPr>
        <b/>
        <sz val="10"/>
        <rFont val="Times New Roman"/>
        <family val="1"/>
      </rPr>
      <t>буџетска резерва</t>
    </r>
  </si>
  <si>
    <r>
      <t xml:space="preserve">Расходи за стручне услуге (извршење рјешења,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мониторинг загађујућих материја у животној средини)</t>
    </r>
  </si>
  <si>
    <r>
      <t xml:space="preserve">Остали непоменути расходи - </t>
    </r>
    <r>
      <rPr>
        <b/>
        <sz val="10"/>
        <rFont val="Times New Roman"/>
        <family val="1"/>
      </rPr>
      <t>буџетска резерва</t>
    </r>
  </si>
  <si>
    <r>
      <t>Смјештај штићеника у установе социјалне заштите</t>
    </r>
    <r>
      <rPr>
        <sz val="10"/>
        <color indexed="10"/>
        <rFont val="Times New Roman"/>
        <family val="1"/>
      </rPr>
      <t xml:space="preserve"> - </t>
    </r>
    <r>
      <rPr>
        <sz val="10"/>
        <rFont val="Times New Roman"/>
        <family val="1"/>
      </rPr>
      <t>буџетске кориснике</t>
    </r>
  </si>
  <si>
    <r>
      <t>Расходи за стручне услуге -</t>
    </r>
    <r>
      <rPr>
        <b/>
        <sz val="10"/>
        <rFont val="Times New Roman"/>
        <family val="1"/>
      </rPr>
      <t xml:space="preserve"> буџетска резерва</t>
    </r>
  </si>
  <si>
    <r>
      <t xml:space="preserve">Расходи за стручне услуге Центра за културу - </t>
    </r>
    <r>
      <rPr>
        <b/>
        <sz val="10"/>
        <rFont val="Times New Roman"/>
        <family val="1"/>
      </rPr>
      <t>буџетска резерва</t>
    </r>
  </si>
  <si>
    <r>
      <t xml:space="preserve">Набавка опреме - </t>
    </r>
    <r>
      <rPr>
        <b/>
        <sz val="10"/>
        <rFont val="Times New Roman"/>
        <family val="1"/>
      </rPr>
      <t>буџетска резерва</t>
    </r>
  </si>
  <si>
    <t>Утрошак намјенских средстава за финансирање посебних мјера заштите од пожара</t>
  </si>
  <si>
    <t xml:space="preserve">%
 учешћа </t>
  </si>
  <si>
    <t>Омладински центар Прњавор</t>
  </si>
  <si>
    <t>Накнаде члановима комисија</t>
  </si>
  <si>
    <t>Инвестиционо  одржавање, реконструкција и адаптација зграда и објеката  Општинске управе</t>
  </si>
  <si>
    <t>Трошкови првостепених стручних комисија</t>
  </si>
  <si>
    <t>Изградња и реконструкција инфраструктуре и других објеката на неразвијеним дијеловима општине</t>
  </si>
  <si>
    <t>Примици од продаје стамбених објеката</t>
  </si>
  <si>
    <t>Финансирање "Родитељске куће"</t>
  </si>
  <si>
    <t>1011</t>
  </si>
  <si>
    <t>Средства за набавку уџбеника за породице са четворо и више дјеце</t>
  </si>
  <si>
    <t>Остали комунални послови по наруџби (саднице,  канали, уређење и одржавање  зелених површина и спортских терена, објекти на путу, чишћење сливника, одржавање јавних извора и др.)</t>
  </si>
  <si>
    <t>Зимско одржавање локалних путева, улица, тротоара, тргова и др.</t>
  </si>
  <si>
    <r>
      <t xml:space="preserve">Камата на кредит од </t>
    </r>
    <r>
      <rPr>
        <sz val="10"/>
        <color indexed="10"/>
        <rFont val="Times New Roman"/>
        <family val="1"/>
      </rPr>
      <t>0,00 КМ</t>
    </r>
  </si>
  <si>
    <r>
      <t>Отплата дуга по кредиту од</t>
    </r>
    <r>
      <rPr>
        <sz val="10"/>
        <color indexed="10"/>
        <rFont val="Times New Roman"/>
        <family val="1"/>
      </rPr>
      <t xml:space="preserve"> (0,00 КМ)</t>
    </r>
  </si>
  <si>
    <t>Капиталне инвестиције из кредитних средстава</t>
  </si>
  <si>
    <t>Буџет за 
2022. годину</t>
  </si>
  <si>
    <t xml:space="preserve"> Буџет за 
2022. годину</t>
  </si>
  <si>
    <t>Укупни расходи за потрошачку
 јединицу бр.  00750700</t>
  </si>
  <si>
    <t>Расходи за накнаде за превоз и смјештај (нето)</t>
  </si>
  <si>
    <t>Расходи за накнаде по основу награда (нето)</t>
  </si>
  <si>
    <t>Расходи за закуп зграда, објеката и превозних средстава</t>
  </si>
  <si>
    <t>Расходи по основу утрошка енергије</t>
  </si>
  <si>
    <t>Расходи за комуналне услуге</t>
  </si>
  <si>
    <t>Расходи за комуникационе услуге</t>
  </si>
  <si>
    <t>Расходи за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</si>
  <si>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</si>
  <si>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</si>
  <si>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остали материјал</t>
  </si>
  <si>
    <t>Расходи текућег одржавања зграда</t>
  </si>
  <si>
    <t>Расходи текућег одржавања опреме</t>
  </si>
  <si>
    <t>Расходи за услуге осигурања</t>
  </si>
  <si>
    <t>Расходи за услуге информисања</t>
  </si>
  <si>
    <t>Расходи за компјутерске услуге</t>
  </si>
  <si>
    <t>Расходи за бруто накнаде ван радног времена</t>
  </si>
  <si>
    <t>Расходи по основу организације пријема и славе</t>
  </si>
  <si>
    <t>Расходи по основу пореза, доприноса и непореских накнада
на терет послодавца</t>
  </si>
  <si>
    <t>413000</t>
  </si>
  <si>
    <t>418000</t>
  </si>
  <si>
    <t>Расходу финансирања, други финансијски трошкови  и расходи трансакција размјене измеђуу или унутар јединица власти</t>
  </si>
  <si>
    <t>Издаци за произведену  сталну имовину</t>
  </si>
  <si>
    <t>Издаци за залихе материјала,  робе и ситног инвентара,
амбалаже и сл.</t>
  </si>
  <si>
    <t>610000</t>
  </si>
  <si>
    <t>Издаци за отплату дугова из трансакција између или унутар јединице власти</t>
  </si>
  <si>
    <t>Расходи по основу камата на примљене зајмове у земљи 
(зајмови примљени од банака)</t>
  </si>
  <si>
    <t>Раходи по основу камата на зајмове примљене од Фонда</t>
  </si>
  <si>
    <t>511000</t>
  </si>
  <si>
    <t>Издаци за набавку медецинске и лабараторијске опреме</t>
  </si>
  <si>
    <t>Издаци за нематеријалну произведену имовину</t>
  </si>
  <si>
    <t>Издаци за набавку лиценци</t>
  </si>
  <si>
    <t>516000</t>
  </si>
  <si>
    <t>Издаци за залихе медецинског и лабараторијском материјала</t>
  </si>
  <si>
    <t>Издаци за залихе одјеће и остале залихе материјала</t>
  </si>
  <si>
    <t>621000</t>
  </si>
  <si>
    <t>628000</t>
  </si>
  <si>
    <t>631000</t>
  </si>
  <si>
    <t>638000</t>
  </si>
  <si>
    <t>Издаци за отплату главнице зајмова примљених из земље</t>
  </si>
  <si>
    <t>Издаци за отплату главнице примљених зајмова од Фонда</t>
  </si>
  <si>
    <t>Издаци по основу пореза на додату вриједност</t>
  </si>
  <si>
    <t>Остали издаци из трансакција између или унутар 
јединице власти</t>
  </si>
  <si>
    <t>Издаци за накнаде плата за породиљско боловање и остала боловања 
које се рефундира</t>
  </si>
  <si>
    <t>Расходи за накнаду плата запослених за вријеме боловања
који се не рефундирају (бруто)</t>
  </si>
  <si>
    <t>0720</t>
  </si>
  <si>
    <t>Приходи од партиципације</t>
  </si>
  <si>
    <t>Приходи од неосигураних лица</t>
  </si>
  <si>
    <t>Приходи од осталих здравствених услуга</t>
  </si>
  <si>
    <t>Приходи по основу пружања амбулантних услуга</t>
  </si>
  <si>
    <t>Приходи по основу израде медецинских средстава</t>
  </si>
  <si>
    <t>Приходи по основу услуга иноосигураницима-конвенција</t>
  </si>
  <si>
    <t>Приходи по основу санитетског превоза</t>
  </si>
  <si>
    <t>Приходи по основу осталих здравствених услуга здравствене заштите</t>
  </si>
  <si>
    <t>Приходи по основу пружања услуга  дијализе</t>
  </si>
  <si>
    <t>Приходи по основу консултативно- специјалистичке здравствене заштите</t>
  </si>
  <si>
    <t xml:space="preserve">Приходи од финансијске и нефинансијске имовине и трансакција размјене унутар исте јединице власти </t>
  </si>
  <si>
    <t>Расходи за услуге превоза и смјештаја</t>
  </si>
  <si>
    <t>Расходи за медецински и лабораторијски материјал</t>
  </si>
  <si>
    <t>Расходи за правне и административне послове</t>
  </si>
  <si>
    <t>Расходи за остале стручне услуге</t>
  </si>
  <si>
    <t>Остали некласификовани расходи из трансакција са државом</t>
  </si>
  <si>
    <t>Приходи од закупа  пословних простора - Општинска управа</t>
  </si>
  <si>
    <r>
      <t xml:space="preserve">Приходи од  закупа  пословних простора - </t>
    </r>
    <r>
      <rPr>
        <b/>
        <sz val="10"/>
        <rFont val="Times New Roman"/>
        <family val="1"/>
      </rPr>
      <t>ЈЗУ Дом здравља</t>
    </r>
  </si>
  <si>
    <t>Расходи по основу закупа из трансакција унутар исте јединице власти</t>
  </si>
  <si>
    <t>Расходи по основу утрошка гријања, електричне енергије, воде и канализације унутар исте јединице власти</t>
  </si>
  <si>
    <t>Расходи из трансакција размјене унутар исте јединице власти</t>
  </si>
  <si>
    <t xml:space="preserve">Комунална такса за коришћење простора за паркирање моторних, друмских и прикључних возила </t>
  </si>
  <si>
    <t>Подршка систему прихвата и интеграције држављана БиХ који се враћају по основу Споразума о реадмисији</t>
  </si>
  <si>
    <t>1070</t>
  </si>
  <si>
    <t>Приходи од пружања јавних услуга (А+Б+В)</t>
  </si>
  <si>
    <r>
      <t xml:space="preserve">Примици од наплате осталих зајмова датих радницима - </t>
    </r>
    <r>
      <rPr>
        <b/>
        <sz val="10"/>
        <rFont val="Times New Roman"/>
        <family val="1"/>
      </rPr>
      <t>ЈЗУ Дом здравља</t>
    </r>
  </si>
  <si>
    <r>
      <t>Примици по основу пореза на додату вриједност -</t>
    </r>
    <r>
      <rPr>
        <b/>
        <sz val="10"/>
        <rFont val="Times New Roman"/>
        <family val="1"/>
      </rPr>
      <t xml:space="preserve"> ЈЗУ Дом здравља</t>
    </r>
  </si>
  <si>
    <r>
      <t xml:space="preserve">Примици за накнаде плата за породиљско одсуство и за вријеме боловања који се рефундирају од фондова обавезног социјалног осигурања - </t>
    </r>
    <r>
      <rPr>
        <b/>
        <sz val="10"/>
        <rFont val="Times New Roman"/>
        <family val="1"/>
      </rPr>
      <t>ЈЗУ Дом здравља</t>
    </r>
  </si>
  <si>
    <r>
      <t>Издаци по основу пореза на додату вриједност -</t>
    </r>
    <r>
      <rPr>
        <b/>
        <sz val="11"/>
        <rFont val="Times New Roman"/>
        <family val="1"/>
      </rPr>
      <t xml:space="preserve"> ЈЗУ Дом здравља</t>
    </r>
  </si>
  <si>
    <t>Трошкови чишћења улица, тротоара и зелeних површина, трошкови прања улица и тротоара, кошења зелених површина, шишања живих ограда  и ванредни комунални послови по наруџби (сјечење растиња, одржавање дрвореда и сл.)</t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</si>
  <si>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Дјечији вртић " Наша радост" Прњавор
Број: 00750400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</si>
  <si>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</si>
  <si>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пољопривреду, водопривреду и шумарство
Број: 00750250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</si>
  <si>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Одсјек за јавне  набавке, правна питања и прописе
Број: 00750241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</si>
  <si>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заједничке послове
Број: 00750240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</si>
  <si>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инспекцијске послове</t>
    </r>
    <r>
      <rPr>
        <sz val="11"/>
        <rFont val="Times New Roman"/>
        <family val="1"/>
      </rPr>
      <t xml:space="preserve">
 </t>
    </r>
    <r>
      <rPr>
        <b/>
        <sz val="11"/>
        <rFont val="Times New Roman"/>
        <family val="1"/>
      </rPr>
      <t xml:space="preserve">  Број: 00750220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</si>
  <si>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борачко-инвалидску заштиту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00750180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</si>
  <si>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стамбено- комуналне послове и инвестиције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00750170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</si>
  <si>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просторно уређење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00750160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</si>
  <si>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локални економски развој и друштвене дјелатности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00750150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</si>
  <si>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финансије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</si>
  <si>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општу управу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00750130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</si>
  <si>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цивилну заштиту
Број: 00750126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</si>
  <si>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Кабинет начелника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00750120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</si>
  <si>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Скупштина општине и стручна служба СО-е
Број: 00750110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</si>
  <si>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Гимназија Прњавор
Број: 08150026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</si>
  <si>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средњих школа "Иво Андрић" Прњавор
Број: 08150027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</si>
  <si>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за културу Прњавор
Број: 08180011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</si>
  <si>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ЈУ Народна библиотека Прњавор
Број: 08180068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</si>
  <si>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Музичка школа "Константин Бабић " Прњавор
Број: 08400005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</si>
  <si>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Остала буџетска потрошња 
Број:  00750190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</si>
  <si>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Трезор општине Прњавор број:  9999999</t>
    </r>
  </si>
  <si>
    <t>Приходи општинских органа управе</t>
  </si>
  <si>
    <t>А) Приходи од пружања јавних услуга - Општинских органа управе</t>
  </si>
  <si>
    <r>
      <t xml:space="preserve">Б) </t>
    </r>
    <r>
      <rPr>
        <b/>
        <sz val="10"/>
        <rFont val="Times New Roman"/>
        <family val="1"/>
      </rPr>
      <t>Приходи од пружања јавних услуга</t>
    </r>
    <r>
      <rPr>
        <b/>
        <i/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>ЈУ Дом здравља Прњавор</t>
    </r>
  </si>
  <si>
    <t>В) Приходи од пружања јавних услуга - Остали буџетски корисници</t>
  </si>
  <si>
    <r>
      <t xml:space="preserve">Приходи од закупа унутар исте јединице власти - </t>
    </r>
    <r>
      <rPr>
        <b/>
        <sz val="10"/>
        <rFont val="Times New Roman"/>
        <family val="1"/>
      </rPr>
      <t>ЈЗУ Дом здравља</t>
    </r>
  </si>
  <si>
    <r>
      <t xml:space="preserve">Приходи из трансакција размјене унутар исте јединице власти - </t>
    </r>
    <r>
      <rPr>
        <b/>
        <sz val="10"/>
        <rFont val="Times New Roman"/>
        <family val="1"/>
      </rPr>
      <t>ЈЗУ Дом здравља</t>
    </r>
  </si>
  <si>
    <t>Контрол-РАСХОДИ</t>
  </si>
  <si>
    <t>Издаци-финансиранје</t>
  </si>
  <si>
    <r>
      <t>Набавка опреме</t>
    </r>
    <r>
      <rPr>
        <b/>
        <sz val="10"/>
        <color indexed="10"/>
        <rFont val="Times New Roman"/>
        <family val="1"/>
      </rPr>
      <t xml:space="preserve"> </t>
    </r>
  </si>
  <si>
    <t>Изградња спортске дворане</t>
  </si>
  <si>
    <t>Приходи од комерцијалних здравствених услуга</t>
  </si>
  <si>
    <t>Изградња парка у Улици Вељка Миланковића</t>
  </si>
  <si>
    <t>Дознаке на име соц. заштите које се исплаћују из буџета  општине</t>
  </si>
  <si>
    <t>Једнократне помоћи за свако рођено дијете</t>
  </si>
  <si>
    <t>Средства за пројекат "Старење и здравље"</t>
  </si>
  <si>
    <t xml:space="preserve">Средства за имплементацију и суфинансирање пројеката предвиђених Стратегијом развоја општине Прњавор 2022-2028. година </t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</si>
  <si>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ЈЗУ Дом здравља Прњавор
Број: 00750700</t>
    </r>
  </si>
  <si>
    <t>Реконструкција улице Илије и Алексе Малића</t>
  </si>
  <si>
    <t>Изградња водоводне мреже у МЗ Штрпци</t>
  </si>
  <si>
    <t>Изградња водоводне мреже у МЗ Поточани</t>
  </si>
  <si>
    <t>Изградња инфраструктуре у Пословно-туристичкој зони "Вијака"</t>
  </si>
  <si>
    <t>Израда пројекта и почетак радова на водоснабдијевању МЗ Кремна, Кулаши и Попвићи</t>
  </si>
  <si>
    <t>Израда пројеката за водоводе мјесних заједница: Доњи Гаљиповци, Чорле, Насеобина Лишња, Бабановци, Хрваћани, Просјек, Мрачај-Отпочиваљка и Орашје-Ново Село</t>
  </si>
  <si>
    <r>
      <t xml:space="preserve">Трошкови интеркаларне камате на примљени зајам </t>
    </r>
    <r>
      <rPr>
        <b/>
        <sz val="10"/>
        <rFont val="Times New Roman"/>
        <family val="1"/>
      </rPr>
      <t>(5 мил.  КМ)</t>
    </r>
  </si>
  <si>
    <r>
      <t>Трошкови обраде кредитне документације за примљене зајмове</t>
    </r>
    <r>
      <rPr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(5.мил.КМ)</t>
    </r>
  </si>
  <si>
    <t>Помоћ у реализацији пројеката заједница етажних власника</t>
  </si>
  <si>
    <t>Грант удружењу пољопривредних произвођача - мљекара РС</t>
  </si>
  <si>
    <t>Приходи и примици и финансирање</t>
  </si>
  <si>
    <t>Разлика (примици - расходи и издаци)</t>
  </si>
  <si>
    <t>Средства за рјешавање стамбеног питања породица погинулих бораца</t>
  </si>
  <si>
    <t>Реконструкција старе зграде општине и зграде Војног одсјека - Завичајног музеја Прњавор</t>
  </si>
  <si>
    <t xml:space="preserve">Субвенционисање набавке уџбеника за ученике основних школа </t>
  </si>
  <si>
    <t>Трошкови одржавања јавне расвјете (у граду и мјесним заједницама)</t>
  </si>
  <si>
    <t>Помоћ младима кроз старт-уп предузетништво</t>
  </si>
  <si>
    <t>Износ за ребаланс</t>
  </si>
  <si>
    <t>Ребаланс буџета за 2022. г.</t>
  </si>
  <si>
    <t>5(6-4)</t>
  </si>
  <si>
    <t>7(6/4*100)</t>
  </si>
  <si>
    <t>ТАБЕЛА 2.  РЕБАЛАНС БУЏЕТА ОПШТИНЕ ПРЊАВОР ЗА 2022. ГОДИНУ
-БУЏЕТСКИ ПРИХОДИ И ПРИМИЦИ ЗА НЕФИНАНСИЈСКУ ИМОВИНУ</t>
  </si>
  <si>
    <t>Износ 
за ребаланс</t>
  </si>
  <si>
    <t>4(5-3)</t>
  </si>
  <si>
    <t>ТАБЕЛА 4.  РЕБАЛАНС БУЏЕТА ОПШТИНЕ ПРЊАВОР ЗА 2022. ГОДИНУ
- ФИНАНСИРАЊЕ</t>
  </si>
  <si>
    <t>6(7-5)</t>
  </si>
  <si>
    <t xml:space="preserve"> ТАБЕЛА 5.  РЕБАЛАНС БУЏЕТА ОПШТИНЕ ПРЊАВОР ЗА 2022. ГОДИНУ
 - ОРГАНИЗАЦИОНА КЛАСИФИКАЦИЈА                                                                                                                                                                                    </t>
  </si>
  <si>
    <t>Ребаланс буџета за 2022.г.</t>
  </si>
  <si>
    <t>5</t>
  </si>
  <si>
    <t>6(5/3*100)</t>
  </si>
  <si>
    <t xml:space="preserve">  ТАБЕЛА 6.   РЕБАЛАНС БУЏЕТА ОПШТИНЕ ПРЊАВОР ЗА 2022. ГОДИНУ
- ФУНКЦИОНАЛНА КЛАСИФИКАЦИЈА </t>
  </si>
  <si>
    <t>ТАБЕЛА 1.   РЕБАЛАНС БУЏЕТА ОПШТИНЕ ПРЊАВОР ЗА 2022. ГОДИНУ
- ОПШТИ ДИО</t>
  </si>
  <si>
    <t xml:space="preserve">  ТАБЕЛА 3.  РЕБАЛАНС БУЏЕТА ОПШТИНЕ ПРЊАВОР ЗА 2022. ГОДИНУ
-БУЏЕТСКИ РАСХОДИ И ИЗДАЦИ ЗА НЕФИНАНСИЈСКУ ИМОВИНУ        </t>
  </si>
  <si>
    <t>8(7/5*100)</t>
  </si>
  <si>
    <r>
      <t xml:space="preserve">Назив и број потрошачке јединице:
</t>
    </r>
    <r>
      <rPr>
        <b/>
        <sz val="11"/>
        <rFont val="Times New Roman"/>
        <family val="1"/>
      </rPr>
      <t xml:space="preserve">Територијална ватрогасно-спасилачка јединица Прњавор
Број: 00750125 </t>
    </r>
  </si>
  <si>
    <t>0721</t>
  </si>
  <si>
    <t xml:space="preserve">РЕБАЛАНС
 БУЏЕТА ОПШТИНЕ ПРЊАВОР 
ЗА 2022. ГОДИНУ </t>
  </si>
  <si>
    <r>
      <t xml:space="preserve">Плакете, повеље, награде и признања општине - </t>
    </r>
    <r>
      <rPr>
        <b/>
        <sz val="10"/>
        <rFont val="Times New Roman"/>
        <family val="1"/>
      </rPr>
      <t>буџетска резерва</t>
    </r>
  </si>
  <si>
    <r>
      <t>Једнократне новчане помоћи појединцима -</t>
    </r>
    <r>
      <rPr>
        <b/>
        <sz val="10"/>
        <rFont val="Times New Roman"/>
        <family val="1"/>
      </rPr>
      <t xml:space="preserve"> буџетска резерва</t>
    </r>
  </si>
  <si>
    <r>
      <t>Средства за одржавање Фестивала националних мањина "Мала Европа" Прњавор -</t>
    </r>
    <r>
      <rPr>
        <b/>
        <sz val="10"/>
        <rFont val="Times New Roman"/>
        <family val="1"/>
      </rPr>
      <t xml:space="preserve"> буџетска резерва</t>
    </r>
  </si>
  <si>
    <r>
      <t>Финансирање Општинске организације слијепих  Прњавор -</t>
    </r>
    <r>
      <rPr>
        <b/>
        <sz val="10"/>
        <rFont val="Times New Roman"/>
        <family val="1"/>
      </rPr>
      <t xml:space="preserve"> буџетска резерва</t>
    </r>
  </si>
  <si>
    <r>
      <t>Грант приватним здравственим установама (новчане помоћи здравственим радницима) -</t>
    </r>
    <r>
      <rPr>
        <b/>
        <sz val="10"/>
        <rFont val="Times New Roman"/>
        <family val="1"/>
      </rPr>
      <t xml:space="preserve"> буџетска резерва</t>
    </r>
  </si>
  <si>
    <r>
      <t xml:space="preserve">Грант Универзитету у Источном Сарајеву, Економски факултет Пале - </t>
    </r>
    <r>
      <rPr>
        <b/>
        <sz val="10"/>
        <rFont val="Times New Roman"/>
        <family val="1"/>
      </rPr>
      <t>буџетска резерва</t>
    </r>
  </si>
  <si>
    <r>
      <t>Остали непоменути расходи -</t>
    </r>
    <r>
      <rPr>
        <b/>
        <sz val="10"/>
        <rFont val="Times New Roman"/>
        <family val="1"/>
      </rPr>
      <t xml:space="preserve"> буџетска резерва</t>
    </r>
  </si>
  <si>
    <r>
      <t xml:space="preserve">Расходи за текуће одржавање - </t>
    </r>
    <r>
      <rPr>
        <b/>
        <sz val="10"/>
        <rFont val="Times New Roman"/>
        <family val="1"/>
      </rPr>
      <t>текућа буџетска резерва</t>
    </r>
  </si>
  <si>
    <r>
      <t xml:space="preserve">Остали непоменути расходи - </t>
    </r>
    <r>
      <rPr>
        <b/>
        <sz val="10"/>
        <rFont val="Times New Roman"/>
        <family val="1"/>
      </rPr>
      <t>буџетска резерва</t>
    </r>
  </si>
  <si>
    <r>
      <t>Издаци по основу аванса -</t>
    </r>
    <r>
      <rPr>
        <b/>
        <sz val="10"/>
        <rFont val="Times New Roman"/>
        <family val="1"/>
      </rPr>
      <t xml:space="preserve"> буџетска резерва</t>
    </r>
  </si>
  <si>
    <t>Текући грант појединцима - Средства за помоћ у лијечењу дјеце и младих обољелих од дијабетеса</t>
  </si>
  <si>
    <t>Расходи за таксе и накнаде за регистрацију</t>
  </si>
  <si>
    <t>Расходи из трансакције размјене унутар исте јединице власти</t>
  </si>
  <si>
    <t>Остали некласификовани расходи из трансакција унутар исте јединице власти</t>
  </si>
  <si>
    <t>Неизмирене обавезе из ранијег периода</t>
  </si>
  <si>
    <r>
      <t xml:space="preserve">Неизмирене обавезе из ранијег периода - </t>
    </r>
    <r>
      <rPr>
        <b/>
        <sz val="10"/>
        <rFont val="Times New Roman"/>
        <family val="1"/>
      </rPr>
      <t>ЈЗУ Дом здравља</t>
    </r>
  </si>
  <si>
    <t>Помоћ појединцима</t>
  </si>
  <si>
    <r>
      <t>Стипендије ученицима дефицитарних занимања -</t>
    </r>
    <r>
      <rPr>
        <b/>
        <sz val="10"/>
        <rFont val="Times New Roman"/>
        <family val="1"/>
      </rPr>
      <t xml:space="preserve"> из средстава
Министарства просвјете и културе</t>
    </r>
  </si>
  <si>
    <t>Неутрошена намјенска средства из 2021. године - трансфер Владе РС Центру средњих школа за санацију санитарног чвора</t>
  </si>
  <si>
    <t>Трансфер Министарства просвјете и културе РС Центру средњих школа "Иво Андрић" за стипендије и превоз ученика дефицитарних занимања</t>
  </si>
  <si>
    <t>Остали непоменути расходи - Светосавска награда из средстава Министарства просвјете и културе</t>
  </si>
  <si>
    <t>Трансфер Министарства просвјете и културе ЈУ Дјечији вртић "Наша радост" за додјелу Светосавске награде за радну 2020/21 годину</t>
  </si>
  <si>
    <t>Грант правних и физичких лица ЈУ Центар средњих школа "Иво Андрић" Прњавор за одлазак ученика на спортска такмичења</t>
  </si>
  <si>
    <r>
      <t>Грант Фонда за заштиту животне средине и енергетску ефикасност РС (</t>
    </r>
    <r>
      <rPr>
        <sz val="10"/>
        <rFont val="Times New Roman"/>
        <family val="1"/>
      </rPr>
      <t>набавка возила за комуналну отпад, приход остварен у 22 а расход у 21.г.)</t>
    </r>
  </si>
  <si>
    <r>
      <t xml:space="preserve">Остали непоменути расходи - </t>
    </r>
    <r>
      <rPr>
        <b/>
        <sz val="10"/>
        <rFont val="Times New Roman"/>
        <family val="1"/>
      </rPr>
      <t xml:space="preserve"> из донација за одлазак ученика на такмичење</t>
    </r>
  </si>
  <si>
    <t xml:space="preserve">Неутрошена намјенска средства из 2021. године -трансфер Министарсттва здравља и социјалне заштите РС Центру за социјални рад за суфинансирање програмских активности </t>
  </si>
  <si>
    <t>Издаци за набавку превозних средстава</t>
  </si>
  <si>
    <t>Примици од продаје сталне имовине намијењене продаји из обустављених пословања</t>
  </si>
  <si>
    <t>Примици од продаје сталне имовине  из обустављених пословања</t>
  </si>
  <si>
    <r>
      <t xml:space="preserve">Остали примици - </t>
    </r>
    <r>
      <rPr>
        <b/>
        <sz val="10"/>
        <rFont val="Times New Roman"/>
        <family val="1"/>
      </rPr>
      <t>средства ЈЗУ Дом здравља пренесена на ЈРТ преласком на трезорско пословање</t>
    </r>
  </si>
  <si>
    <t>0510</t>
  </si>
  <si>
    <t>Набавка возила за одвоз комуналног отпада</t>
  </si>
  <si>
    <t>Средства за постдипломце и докторанте</t>
  </si>
  <si>
    <t>0942</t>
  </si>
  <si>
    <t>Прњавор, јун 2022. године</t>
  </si>
  <si>
    <r>
      <t xml:space="preserve">Трансфер општине Прњавор </t>
    </r>
    <r>
      <rPr>
        <b/>
        <sz val="10"/>
        <rFont val="Times New Roman"/>
        <family val="1"/>
      </rPr>
      <t>ЈЗУ Дом здравља  Прњавор</t>
    </r>
  </si>
  <si>
    <t>Приходи и примици</t>
  </si>
  <si>
    <t>Расходи и издаци</t>
  </si>
  <si>
    <t>приходи</t>
  </si>
  <si>
    <t>финансирање</t>
  </si>
  <si>
    <t>укупно</t>
  </si>
  <si>
    <t>расходи</t>
  </si>
  <si>
    <t>Расходи</t>
  </si>
  <si>
    <t>Финансирање</t>
  </si>
  <si>
    <t>Неутрошена намјенска средства из 2021. године -трансфер Министарсттва просвјете и културе ЈУ Народна библиотека за набавку опреме</t>
  </si>
  <si>
    <r>
      <t xml:space="preserve">Набавка опреме - </t>
    </r>
    <r>
      <rPr>
        <b/>
        <sz val="10"/>
        <rFont val="Times New Roman"/>
        <family val="1"/>
      </rPr>
      <t>из пренесених неутрошених средстава Министарства здравља и социјалне заштите из 2021. години</t>
    </r>
  </si>
  <si>
    <r>
      <t xml:space="preserve">Инвестиционо  одржавање, реконструкција и адаптација зграда и објеката
- </t>
    </r>
    <r>
      <rPr>
        <b/>
        <sz val="10"/>
        <rFont val="Times New Roman"/>
        <family val="1"/>
      </rPr>
      <t>из  пренесених неутрошених средстава Владе РС дозначених у 2021.г. за санацију санитарног чвора</t>
    </r>
  </si>
  <si>
    <r>
      <t>Набавка опреме -</t>
    </r>
    <r>
      <rPr>
        <b/>
        <sz val="10"/>
        <rFont val="Times New Roman"/>
        <family val="1"/>
      </rPr>
      <t xml:space="preserve"> из пренесених неутрошених средстава Министарства
 просвјете и културе РС из 2021.г.</t>
    </r>
  </si>
  <si>
    <r>
      <t xml:space="preserve">Трошкови обиљежавања значајних датума у мјесним заједницама - </t>
    </r>
    <r>
      <rPr>
        <b/>
        <sz val="10"/>
        <rFont val="Times New Roman"/>
        <family val="1"/>
      </rPr>
      <t>буџетска резерва</t>
    </r>
  </si>
  <si>
    <r>
      <t>Борачка организација општине Прњавор -</t>
    </r>
    <r>
      <rPr>
        <b/>
        <sz val="10"/>
        <rFont val="Times New Roman"/>
        <family val="1"/>
      </rPr>
      <t>буџетска резерва</t>
    </r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</si>
</sst>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0.0"/>
    <numFmt numFmtId="187" formatCode="#,##0.00;[Red]#,##0.00"/>
    <numFmt numFmtId="188" formatCode="0.000000000"/>
    <numFmt numFmtId="189" formatCode="0.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sz val="12"/>
      <name val="Times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2EEEE"/>
        <bgColor indexed="64"/>
      </patternFill>
    </fill>
    <fill>
      <patternFill patternType="solid">
        <fgColor rgb="FFFFFF6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/>
    </border>
    <border>
      <left style="double"/>
      <right/>
      <top style="thin"/>
      <bottom>
        <color indexed="63"/>
      </bottom>
    </border>
    <border>
      <left/>
      <right style="thin"/>
      <top style="thin"/>
      <bottom/>
    </border>
    <border>
      <left style="double"/>
      <right/>
      <top>
        <color indexed="63"/>
      </top>
      <bottom>
        <color indexed="63"/>
      </bottom>
    </border>
    <border>
      <left/>
      <right style="thin"/>
      <top/>
      <bottom/>
    </border>
    <border>
      <left style="double"/>
      <right/>
      <top>
        <color indexed="63"/>
      </top>
      <bottom style="thin"/>
    </border>
    <border>
      <left/>
      <right style="thin"/>
      <top/>
      <bottom style="thin"/>
    </border>
    <border>
      <left style="double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/>
      <top style="thin"/>
      <bottom style="double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" fontId="10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15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1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13" borderId="11" xfId="0" applyFont="1" applyFill="1" applyBorder="1" applyAlignment="1">
      <alignment horizontal="left" vertical="center"/>
    </xf>
    <xf numFmtId="4" fontId="18" fillId="13" borderId="11" xfId="0" applyNumberFormat="1" applyFont="1" applyFill="1" applyBorder="1" applyAlignment="1">
      <alignment horizontal="right" vertical="center"/>
    </xf>
    <xf numFmtId="4" fontId="18" fillId="13" borderId="12" xfId="0" applyNumberFormat="1" applyFont="1" applyFill="1" applyBorder="1" applyAlignment="1">
      <alignment horizontal="right" vertical="center"/>
    </xf>
    <xf numFmtId="4" fontId="18" fillId="13" borderId="13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34" borderId="11" xfId="0" applyFont="1" applyFill="1" applyBorder="1" applyAlignment="1">
      <alignment horizontal="left" vertical="center"/>
    </xf>
    <xf numFmtId="4" fontId="18" fillId="34" borderId="11" xfId="0" applyNumberFormat="1" applyFont="1" applyFill="1" applyBorder="1" applyAlignment="1">
      <alignment horizontal="right" vertical="center"/>
    </xf>
    <xf numFmtId="4" fontId="18" fillId="35" borderId="11" xfId="0" applyNumberFormat="1" applyFont="1" applyFill="1" applyBorder="1" applyAlignment="1">
      <alignment horizontal="right" vertical="center"/>
    </xf>
    <xf numFmtId="4" fontId="18" fillId="35" borderId="12" xfId="0" applyNumberFormat="1" applyFont="1" applyFill="1" applyBorder="1" applyAlignment="1">
      <alignment horizontal="right" vertical="center"/>
    </xf>
    <xf numFmtId="4" fontId="18" fillId="34" borderId="13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/>
    </xf>
    <xf numFmtId="4" fontId="18" fillId="36" borderId="11" xfId="0" applyNumberFormat="1" applyFont="1" applyFill="1" applyBorder="1" applyAlignment="1">
      <alignment horizontal="right" vertical="center"/>
    </xf>
    <xf numFmtId="4" fontId="18" fillId="37" borderId="11" xfId="0" applyNumberFormat="1" applyFont="1" applyFill="1" applyBorder="1" applyAlignment="1">
      <alignment horizontal="right" vertical="center"/>
    </xf>
    <xf numFmtId="4" fontId="18" fillId="37" borderId="12" xfId="0" applyNumberFormat="1" applyFont="1" applyFill="1" applyBorder="1" applyAlignment="1">
      <alignment horizontal="right" vertical="center"/>
    </xf>
    <xf numFmtId="4" fontId="18" fillId="37" borderId="13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/>
    </xf>
    <xf numFmtId="4" fontId="21" fillId="38" borderId="11" xfId="0" applyNumberFormat="1" applyFont="1" applyFill="1" applyBorder="1" applyAlignment="1">
      <alignment horizontal="right" vertical="center"/>
    </xf>
    <xf numFmtId="4" fontId="21" fillId="38" borderId="12" xfId="0" applyNumberFormat="1" applyFont="1" applyFill="1" applyBorder="1" applyAlignment="1">
      <alignment horizontal="right" vertical="center"/>
    </xf>
    <xf numFmtId="4" fontId="21" fillId="38" borderId="13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4" fontId="18" fillId="38" borderId="11" xfId="0" applyNumberFormat="1" applyFont="1" applyFill="1" applyBorder="1" applyAlignment="1">
      <alignment horizontal="right" vertical="center"/>
    </xf>
    <xf numFmtId="4" fontId="18" fillId="38" borderId="13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4" fontId="18" fillId="36" borderId="11" xfId="0" applyNumberFormat="1" applyFont="1" applyFill="1" applyBorder="1" applyAlignment="1">
      <alignment horizontal="right" vertical="center" wrapText="1"/>
    </xf>
    <xf numFmtId="0" fontId="21" fillId="0" borderId="11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4" fontId="21" fillId="0" borderId="11" xfId="0" applyNumberFormat="1" applyFont="1" applyFill="1" applyBorder="1" applyAlignment="1">
      <alignment horizontal="right" vertical="center"/>
    </xf>
    <xf numFmtId="4" fontId="21" fillId="0" borderId="13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left" vertical="center" wrapText="1"/>
    </xf>
    <xf numFmtId="0" fontId="18" fillId="13" borderId="11" xfId="0" applyFont="1" applyFill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18" fillId="13" borderId="14" xfId="0" applyFont="1" applyFill="1" applyBorder="1" applyAlignment="1">
      <alignment vertical="center" wrapText="1"/>
    </xf>
    <xf numFmtId="4" fontId="18" fillId="13" borderId="14" xfId="0" applyNumberFormat="1" applyFont="1" applyFill="1" applyBorder="1" applyAlignment="1">
      <alignment horizontal="right" vertical="center" wrapText="1"/>
    </xf>
    <xf numFmtId="4" fontId="18" fillId="13" borderId="14" xfId="0" applyNumberFormat="1" applyFont="1" applyFill="1" applyBorder="1" applyAlignment="1">
      <alignment horizontal="right" vertical="center"/>
    </xf>
    <xf numFmtId="4" fontId="18" fillId="13" borderId="15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right" vertical="center"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>
      <alignment vertical="center" wrapText="1"/>
    </xf>
    <xf numFmtId="4" fontId="2" fillId="38" borderId="0" xfId="0" applyNumberFormat="1" applyFont="1" applyFill="1" applyBorder="1" applyAlignment="1">
      <alignment horizontal="right" vertical="center" wrapText="1"/>
    </xf>
    <xf numFmtId="4" fontId="19" fillId="38" borderId="0" xfId="0" applyNumberFormat="1" applyFont="1" applyFill="1" applyBorder="1" applyAlignment="1">
      <alignment horizontal="right" vertical="center"/>
    </xf>
    <xf numFmtId="4" fontId="21" fillId="38" borderId="11" xfId="0" applyNumberFormat="1" applyFont="1" applyFill="1" applyBorder="1" applyAlignment="1">
      <alignment horizontal="right" vertical="center"/>
    </xf>
    <xf numFmtId="0" fontId="21" fillId="38" borderId="10" xfId="0" applyFont="1" applyFill="1" applyBorder="1" applyAlignment="1">
      <alignment horizontal="righ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4" fontId="26" fillId="39" borderId="22" xfId="0" applyNumberFormat="1" applyFont="1" applyFill="1" applyBorder="1" applyAlignment="1">
      <alignment horizontal="right" vertical="center"/>
    </xf>
    <xf numFmtId="4" fontId="26" fillId="39" borderId="23" xfId="0" applyNumberFormat="1" applyFont="1" applyFill="1" applyBorder="1" applyAlignment="1">
      <alignment horizontal="right" vertical="center"/>
    </xf>
    <xf numFmtId="4" fontId="21" fillId="39" borderId="24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 wrapText="1"/>
    </xf>
    <xf numFmtId="4" fontId="26" fillId="38" borderId="23" xfId="0" applyNumberFormat="1" applyFont="1" applyFill="1" applyBorder="1" applyAlignment="1">
      <alignment horizontal="right" vertical="center"/>
    </xf>
    <xf numFmtId="4" fontId="26" fillId="39" borderId="11" xfId="0" applyNumberFormat="1" applyFont="1" applyFill="1" applyBorder="1" applyAlignment="1">
      <alignment horizontal="right" vertical="center"/>
    </xf>
    <xf numFmtId="4" fontId="21" fillId="39" borderId="13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23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/>
    </xf>
    <xf numFmtId="4" fontId="21" fillId="0" borderId="23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4" fontId="27" fillId="34" borderId="25" xfId="0" applyNumberFormat="1" applyFont="1" applyFill="1" applyBorder="1" applyAlignment="1">
      <alignment horizontal="right" vertical="center"/>
    </xf>
    <xf numFmtId="4" fontId="27" fillId="35" borderId="23" xfId="0" applyNumberFormat="1" applyFont="1" applyFill="1" applyBorder="1" applyAlignment="1">
      <alignment horizontal="right" vertical="center"/>
    </xf>
    <xf numFmtId="4" fontId="26" fillId="0" borderId="17" xfId="0" applyNumberFormat="1" applyFont="1" applyFill="1" applyBorder="1" applyAlignment="1">
      <alignment vertical="center"/>
    </xf>
    <xf numFmtId="4" fontId="26" fillId="0" borderId="18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vertical="center"/>
    </xf>
    <xf numFmtId="4" fontId="26" fillId="0" borderId="19" xfId="0" applyNumberFormat="1" applyFont="1" applyFill="1" applyBorder="1" applyAlignment="1">
      <alignment horizontal="right" vertical="center"/>
    </xf>
    <xf numFmtId="4" fontId="26" fillId="0" borderId="20" xfId="0" applyNumberFormat="1" applyFont="1" applyFill="1" applyBorder="1" applyAlignment="1">
      <alignment vertical="center"/>
    </xf>
    <xf numFmtId="4" fontId="26" fillId="0" borderId="21" xfId="0" applyNumberFormat="1" applyFont="1" applyFill="1" applyBorder="1" applyAlignment="1">
      <alignment horizontal="right" vertical="center"/>
    </xf>
    <xf numFmtId="4" fontId="26" fillId="0" borderId="22" xfId="0" applyNumberFormat="1" applyFont="1" applyFill="1" applyBorder="1" applyAlignment="1">
      <alignment vertical="center"/>
    </xf>
    <xf numFmtId="4" fontId="26" fillId="38" borderId="22" xfId="0" applyNumberFormat="1" applyFont="1" applyFill="1" applyBorder="1" applyAlignment="1">
      <alignment horizontal="right" vertical="center"/>
    </xf>
    <xf numFmtId="0" fontId="21" fillId="38" borderId="11" xfId="0" applyFont="1" applyFill="1" applyBorder="1" applyAlignment="1">
      <alignment horizontal="left" vertical="center" wrapText="1"/>
    </xf>
    <xf numFmtId="4" fontId="27" fillId="34" borderId="11" xfId="0" applyNumberFormat="1" applyFont="1" applyFill="1" applyBorder="1" applyAlignment="1">
      <alignment horizontal="right" vertical="center"/>
    </xf>
    <xf numFmtId="4" fontId="18" fillId="35" borderId="13" xfId="0" applyNumberFormat="1" applyFont="1" applyFill="1" applyBorder="1" applyAlignment="1">
      <alignment horizontal="right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" fontId="18" fillId="0" borderId="19" xfId="0" applyNumberFormat="1" applyFont="1" applyFill="1" applyBorder="1" applyAlignment="1">
      <alignment horizontal="right" vertical="center"/>
    </xf>
    <xf numFmtId="49" fontId="21" fillId="0" borderId="30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right" vertical="center"/>
    </xf>
    <xf numFmtId="4" fontId="18" fillId="0" borderId="21" xfId="0" applyNumberFormat="1" applyFont="1" applyFill="1" applyBorder="1" applyAlignment="1">
      <alignment horizontal="right" vertical="center"/>
    </xf>
    <xf numFmtId="2" fontId="21" fillId="39" borderId="24" xfId="0" applyNumberFormat="1" applyFont="1" applyFill="1" applyBorder="1" applyAlignment="1">
      <alignment horizontal="right" vertical="center"/>
    </xf>
    <xf numFmtId="2" fontId="21" fillId="38" borderId="13" xfId="0" applyNumberFormat="1" applyFont="1" applyFill="1" applyBorder="1" applyAlignment="1">
      <alignment horizontal="right" vertical="center"/>
    </xf>
    <xf numFmtId="4" fontId="26" fillId="39" borderId="12" xfId="0" applyNumberFormat="1" applyFont="1" applyFill="1" applyBorder="1" applyAlignment="1">
      <alignment horizontal="right" vertical="center"/>
    </xf>
    <xf numFmtId="2" fontId="21" fillId="39" borderId="13" xfId="0" applyNumberFormat="1" applyFont="1" applyFill="1" applyBorder="1" applyAlignment="1">
      <alignment horizontal="right" vertical="center"/>
    </xf>
    <xf numFmtId="2" fontId="18" fillId="35" borderId="13" xfId="0" applyNumberFormat="1" applyFont="1" applyFill="1" applyBorder="1" applyAlignment="1">
      <alignment horizontal="right" vertical="center"/>
    </xf>
    <xf numFmtId="4" fontId="27" fillId="0" borderId="17" xfId="0" applyNumberFormat="1" applyFont="1" applyFill="1" applyBorder="1" applyAlignment="1">
      <alignment vertical="center"/>
    </xf>
    <xf numFmtId="4" fontId="27" fillId="0" borderId="18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7" fillId="0" borderId="19" xfId="0" applyNumberFormat="1" applyFont="1" applyFill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/>
    </xf>
    <xf numFmtId="4" fontId="26" fillId="38" borderId="11" xfId="0" applyNumberFormat="1" applyFont="1" applyFill="1" applyBorder="1" applyAlignment="1">
      <alignment horizontal="right" vertical="center"/>
    </xf>
    <xf numFmtId="4" fontId="26" fillId="38" borderId="12" xfId="0" applyNumberFormat="1" applyFont="1" applyFill="1" applyBorder="1" applyAlignment="1">
      <alignment horizontal="right" vertical="center"/>
    </xf>
    <xf numFmtId="4" fontId="75" fillId="38" borderId="23" xfId="0" applyNumberFormat="1" applyFont="1" applyFill="1" applyBorder="1" applyAlignment="1">
      <alignment horizontal="right" vertical="center"/>
    </xf>
    <xf numFmtId="4" fontId="21" fillId="38" borderId="23" xfId="0" applyNumberFormat="1" applyFont="1" applyFill="1" applyBorder="1" applyAlignment="1">
      <alignment horizontal="right" vertical="center"/>
    </xf>
    <xf numFmtId="4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horizontal="right" vertical="center"/>
    </xf>
    <xf numFmtId="4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38" borderId="11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vertical="center" wrapText="1"/>
    </xf>
    <xf numFmtId="4" fontId="26" fillId="37" borderId="12" xfId="0" applyNumberFormat="1" applyFont="1" applyFill="1" applyBorder="1" applyAlignment="1">
      <alignment horizontal="right" vertical="center"/>
    </xf>
    <xf numFmtId="4" fontId="26" fillId="37" borderId="23" xfId="0" applyNumberFormat="1" applyFont="1" applyFill="1" applyBorder="1" applyAlignment="1">
      <alignment horizontal="right" vertical="center"/>
    </xf>
    <xf numFmtId="49" fontId="21" fillId="33" borderId="32" xfId="0" applyNumberFormat="1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right" vertical="center"/>
    </xf>
    <xf numFmtId="0" fontId="21" fillId="33" borderId="22" xfId="0" applyFont="1" applyFill="1" applyBorder="1" applyAlignment="1">
      <alignment vertical="center" wrapText="1"/>
    </xf>
    <xf numFmtId="4" fontId="21" fillId="38" borderId="24" xfId="0" applyNumberFormat="1" applyFont="1" applyFill="1" applyBorder="1" applyAlignment="1">
      <alignment horizontal="right" vertical="center"/>
    </xf>
    <xf numFmtId="49" fontId="21" fillId="0" borderId="32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/>
    </xf>
    <xf numFmtId="4" fontId="21" fillId="39" borderId="12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4" fontId="26" fillId="40" borderId="11" xfId="0" applyNumberFormat="1" applyFont="1" applyFill="1" applyBorder="1" applyAlignment="1">
      <alignment vertical="center"/>
    </xf>
    <xf numFmtId="4" fontId="26" fillId="40" borderId="11" xfId="0" applyNumberFormat="1" applyFont="1" applyFill="1" applyBorder="1" applyAlignment="1">
      <alignment horizontal="right" vertical="center"/>
    </xf>
    <xf numFmtId="4" fontId="26" fillId="40" borderId="13" xfId="0" applyNumberFormat="1" applyFont="1" applyFill="1" applyBorder="1" applyAlignment="1">
      <alignment horizontal="right" vertical="center"/>
    </xf>
    <xf numFmtId="4" fontId="26" fillId="0" borderId="11" xfId="0" applyNumberFormat="1" applyFont="1" applyBorder="1" applyAlignment="1">
      <alignment vertical="center"/>
    </xf>
    <xf numFmtId="4" fontId="75" fillId="0" borderId="11" xfId="0" applyNumberFormat="1" applyFont="1" applyBorder="1" applyAlignment="1">
      <alignment vertical="center"/>
    </xf>
    <xf numFmtId="49" fontId="21" fillId="38" borderId="11" xfId="0" applyNumberFormat="1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left" vertical="center" wrapText="1"/>
    </xf>
    <xf numFmtId="4" fontId="26" fillId="39" borderId="12" xfId="0" applyNumberFormat="1" applyFont="1" applyFill="1" applyBorder="1" applyAlignment="1">
      <alignment horizontal="right" vertical="center" wrapText="1"/>
    </xf>
    <xf numFmtId="4" fontId="26" fillId="39" borderId="11" xfId="0" applyNumberFormat="1" applyFont="1" applyFill="1" applyBorder="1" applyAlignment="1">
      <alignment horizontal="right" vertical="center" wrapText="1"/>
    </xf>
    <xf numFmtId="49" fontId="75" fillId="0" borderId="16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right" vertical="center"/>
    </xf>
    <xf numFmtId="2" fontId="18" fillId="0" borderId="19" xfId="0" applyNumberFormat="1" applyFont="1" applyFill="1" applyBorder="1" applyAlignment="1">
      <alignment horizontal="right" vertical="center"/>
    </xf>
    <xf numFmtId="2" fontId="18" fillId="0" borderId="21" xfId="0" applyNumberFormat="1" applyFont="1" applyFill="1" applyBorder="1" applyAlignment="1">
      <alignment horizontal="right" vertical="center"/>
    </xf>
    <xf numFmtId="4" fontId="26" fillId="41" borderId="23" xfId="0" applyNumberFormat="1" applyFont="1" applyFill="1" applyBorder="1" applyAlignment="1">
      <alignment horizontal="right" vertical="center"/>
    </xf>
    <xf numFmtId="4" fontId="28" fillId="33" borderId="33" xfId="0" applyNumberFormat="1" applyFont="1" applyFill="1" applyBorder="1" applyAlignment="1">
      <alignment vertical="center"/>
    </xf>
    <xf numFmtId="4" fontId="28" fillId="33" borderId="34" xfId="0" applyNumberFormat="1" applyFont="1" applyFill="1" applyBorder="1" applyAlignment="1">
      <alignment horizontal="right" vertical="center"/>
    </xf>
    <xf numFmtId="0" fontId="28" fillId="33" borderId="11" xfId="0" applyFont="1" applyFill="1" applyBorder="1" applyAlignment="1">
      <alignment horizontal="center" vertical="center" wrapText="1"/>
    </xf>
    <xf numFmtId="1" fontId="21" fillId="33" borderId="11" xfId="0" applyNumberFormat="1" applyFont="1" applyFill="1" applyBorder="1" applyAlignment="1">
      <alignment horizontal="right" vertical="center" wrapText="1"/>
    </xf>
    <xf numFmtId="1" fontId="21" fillId="33" borderId="11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right" vertical="center"/>
    </xf>
    <xf numFmtId="4" fontId="18" fillId="0" borderId="20" xfId="0" applyNumberFormat="1" applyFont="1" applyFill="1" applyBorder="1" applyAlignment="1">
      <alignment horizontal="right" vertical="center"/>
    </xf>
    <xf numFmtId="49" fontId="18" fillId="38" borderId="11" xfId="0" applyNumberFormat="1" applyFont="1" applyFill="1" applyBorder="1" applyAlignment="1">
      <alignment horizontal="center" vertical="center"/>
    </xf>
    <xf numFmtId="49" fontId="21" fillId="38" borderId="10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right" vertical="center"/>
    </xf>
    <xf numFmtId="49" fontId="21" fillId="38" borderId="16" xfId="0" applyNumberFormat="1" applyFont="1" applyFill="1" applyBorder="1" applyAlignment="1">
      <alignment horizontal="center" vertical="center"/>
    </xf>
    <xf numFmtId="2" fontId="18" fillId="37" borderId="13" xfId="0" applyNumberFormat="1" applyFont="1" applyFill="1" applyBorder="1" applyAlignment="1">
      <alignment horizontal="right" vertical="center"/>
    </xf>
    <xf numFmtId="4" fontId="21" fillId="37" borderId="12" xfId="0" applyNumberFormat="1" applyFont="1" applyFill="1" applyBorder="1" applyAlignment="1">
      <alignment horizontal="right" vertical="center"/>
    </xf>
    <xf numFmtId="4" fontId="27" fillId="0" borderId="20" xfId="0" applyNumberFormat="1" applyFont="1" applyFill="1" applyBorder="1" applyAlignment="1">
      <alignment vertical="center"/>
    </xf>
    <xf numFmtId="4" fontId="27" fillId="0" borderId="2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right" vertical="center"/>
    </xf>
    <xf numFmtId="4" fontId="27" fillId="34" borderId="14" xfId="0" applyNumberFormat="1" applyFont="1" applyFill="1" applyBorder="1" applyAlignment="1">
      <alignment horizontal="right" vertical="center"/>
    </xf>
    <xf numFmtId="4" fontId="27" fillId="35" borderId="14" xfId="0" applyNumberFormat="1" applyFont="1" applyFill="1" applyBorder="1" applyAlignment="1">
      <alignment horizontal="right" vertical="center"/>
    </xf>
    <xf numFmtId="2" fontId="18" fillId="35" borderId="15" xfId="0" applyNumberFormat="1" applyFont="1" applyFill="1" applyBorder="1" applyAlignment="1">
      <alignment horizontal="right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11" xfId="0" applyFont="1" applyBorder="1" applyAlignment="1">
      <alignment/>
    </xf>
    <xf numFmtId="0" fontId="21" fillId="33" borderId="16" xfId="0" applyFont="1" applyFill="1" applyBorder="1" applyAlignment="1">
      <alignment horizontal="right" vertical="center"/>
    </xf>
    <xf numFmtId="0" fontId="18" fillId="42" borderId="11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37" borderId="11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right" vertical="center"/>
    </xf>
    <xf numFmtId="0" fontId="21" fillId="0" borderId="16" xfId="0" applyFont="1" applyBorder="1" applyAlignment="1">
      <alignment vertical="center"/>
    </xf>
    <xf numFmtId="4" fontId="21" fillId="0" borderId="11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8" fillId="38" borderId="11" xfId="0" applyFont="1" applyFill="1" applyBorder="1" applyAlignment="1">
      <alignment horizontal="left" vertical="center" wrapText="1"/>
    </xf>
    <xf numFmtId="0" fontId="21" fillId="0" borderId="16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4" fontId="21" fillId="0" borderId="25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 wrapText="1"/>
    </xf>
    <xf numFmtId="0" fontId="18" fillId="38" borderId="37" xfId="0" applyFont="1" applyFill="1" applyBorder="1" applyAlignment="1">
      <alignment horizontal="center" vertical="center"/>
    </xf>
    <xf numFmtId="0" fontId="18" fillId="13" borderId="14" xfId="0" applyFont="1" applyFill="1" applyBorder="1" applyAlignment="1">
      <alignment horizontal="left" vertical="center"/>
    </xf>
    <xf numFmtId="0" fontId="18" fillId="0" borderId="38" xfId="0" applyFont="1" applyBorder="1" applyAlignment="1">
      <alignment horizontal="center" vertical="center"/>
    </xf>
    <xf numFmtId="2" fontId="18" fillId="0" borderId="38" xfId="0" applyNumberFormat="1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vertical="center"/>
    </xf>
    <xf numFmtId="2" fontId="18" fillId="13" borderId="13" xfId="0" applyNumberFormat="1" applyFont="1" applyFill="1" applyBorder="1" applyAlignment="1">
      <alignment horizontal="right" vertical="center"/>
    </xf>
    <xf numFmtId="0" fontId="18" fillId="42" borderId="16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right" vertical="center"/>
    </xf>
    <xf numFmtId="0" fontId="18" fillId="36" borderId="11" xfId="0" applyFont="1" applyFill="1" applyBorder="1" applyAlignment="1">
      <alignment vertical="center" wrapText="1"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18" fillId="36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horizontal="left" vertical="center"/>
    </xf>
    <xf numFmtId="4" fontId="18" fillId="36" borderId="11" xfId="0" applyNumberFormat="1" applyFont="1" applyFill="1" applyBorder="1" applyAlignment="1">
      <alignment vertical="center"/>
    </xf>
    <xf numFmtId="0" fontId="21" fillId="38" borderId="16" xfId="0" applyFont="1" applyFill="1" applyBorder="1" applyAlignment="1">
      <alignment horizontal="right" vertical="center"/>
    </xf>
    <xf numFmtId="0" fontId="18" fillId="42" borderId="11" xfId="0" applyFont="1" applyFill="1" applyBorder="1" applyAlignment="1">
      <alignment vertical="center" wrapText="1"/>
    </xf>
    <xf numFmtId="0" fontId="18" fillId="13" borderId="16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vertical="center"/>
    </xf>
    <xf numFmtId="0" fontId="21" fillId="0" borderId="37" xfId="0" applyFont="1" applyBorder="1" applyAlignment="1">
      <alignment/>
    </xf>
    <xf numFmtId="2" fontId="18" fillId="13" borderId="15" xfId="0" applyNumberFormat="1" applyFont="1" applyFill="1" applyBorder="1" applyAlignment="1">
      <alignment horizontal="right" vertical="center"/>
    </xf>
    <xf numFmtId="0" fontId="18" fillId="0" borderId="39" xfId="0" applyFont="1" applyBorder="1" applyAlignment="1">
      <alignment horizontal="center" vertical="center" wrapText="1"/>
    </xf>
    <xf numFmtId="4" fontId="18" fillId="34" borderId="12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lef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0" fontId="18" fillId="37" borderId="11" xfId="0" applyFont="1" applyFill="1" applyBorder="1" applyAlignment="1">
      <alignment vertical="center" wrapText="1"/>
    </xf>
    <xf numFmtId="0" fontId="18" fillId="35" borderId="11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2" fontId="18" fillId="0" borderId="40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right" vertical="center"/>
    </xf>
    <xf numFmtId="4" fontId="21" fillId="0" borderId="11" xfId="0" applyNumberFormat="1" applyFont="1" applyBorder="1" applyAlignment="1">
      <alignment vertical="center"/>
    </xf>
    <xf numFmtId="0" fontId="18" fillId="35" borderId="37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right" vertical="center"/>
    </xf>
    <xf numFmtId="4" fontId="18" fillId="35" borderId="15" xfId="0" applyNumberFormat="1" applyFont="1" applyFill="1" applyBorder="1" applyAlignment="1">
      <alignment horizontal="right" vertical="center"/>
    </xf>
    <xf numFmtId="0" fontId="18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left" vertical="center"/>
    </xf>
    <xf numFmtId="4" fontId="21" fillId="0" borderId="43" xfId="0" applyNumberFormat="1" applyFont="1" applyBorder="1" applyAlignment="1">
      <alignment horizontal="right" vertical="center"/>
    </xf>
    <xf numFmtId="2" fontId="21" fillId="0" borderId="44" xfId="0" applyNumberFormat="1" applyFont="1" applyBorder="1" applyAlignment="1">
      <alignment horizontal="right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2" fontId="21" fillId="0" borderId="47" xfId="0" applyNumberFormat="1" applyFont="1" applyBorder="1" applyAlignment="1">
      <alignment horizontal="right" vertical="center"/>
    </xf>
    <xf numFmtId="4" fontId="18" fillId="35" borderId="48" xfId="0" applyNumberFormat="1" applyFont="1" applyFill="1" applyBorder="1" applyAlignment="1">
      <alignment horizontal="right" vertical="center"/>
    </xf>
    <xf numFmtId="4" fontId="18" fillId="35" borderId="49" xfId="0" applyNumberFormat="1" applyFont="1" applyFill="1" applyBorder="1" applyAlignment="1">
      <alignment horizontal="right" vertical="center"/>
    </xf>
    <xf numFmtId="4" fontId="21" fillId="0" borderId="23" xfId="0" applyNumberFormat="1" applyFont="1" applyFill="1" applyBorder="1" applyAlignment="1">
      <alignment vertical="center"/>
    </xf>
    <xf numFmtId="4" fontId="75" fillId="0" borderId="23" xfId="0" applyNumberFormat="1" applyFont="1" applyFill="1" applyBorder="1" applyAlignment="1">
      <alignment horizontal="right" vertical="center"/>
    </xf>
    <xf numFmtId="0" fontId="18" fillId="38" borderId="11" xfId="0" applyFont="1" applyFill="1" applyBorder="1" applyAlignment="1">
      <alignment vertical="center" wrapText="1"/>
    </xf>
    <xf numFmtId="4" fontId="21" fillId="0" borderId="11" xfId="0" applyNumberFormat="1" applyFont="1" applyFill="1" applyBorder="1" applyAlignment="1">
      <alignment vertical="center"/>
    </xf>
    <xf numFmtId="0" fontId="21" fillId="38" borderId="11" xfId="0" applyFont="1" applyFill="1" applyBorder="1" applyAlignment="1">
      <alignment horizontal="right" vertical="center" wrapText="1"/>
    </xf>
    <xf numFmtId="0" fontId="18" fillId="38" borderId="11" xfId="0" applyFont="1" applyFill="1" applyBorder="1" applyAlignment="1">
      <alignment horizontal="right" vertical="center" wrapText="1"/>
    </xf>
    <xf numFmtId="4" fontId="76" fillId="0" borderId="0" xfId="0" applyNumberFormat="1" applyFont="1" applyAlignment="1">
      <alignment horizontal="right" vertical="center"/>
    </xf>
    <xf numFmtId="0" fontId="77" fillId="0" borderId="0" xfId="0" applyFont="1" applyAlignment="1">
      <alignment vertical="center"/>
    </xf>
    <xf numFmtId="2" fontId="77" fillId="0" borderId="0" xfId="0" applyNumberFormat="1" applyFont="1" applyAlignment="1">
      <alignment vertical="center"/>
    </xf>
    <xf numFmtId="4" fontId="77" fillId="0" borderId="0" xfId="0" applyNumberFormat="1" applyFont="1" applyAlignment="1">
      <alignment vertical="center"/>
    </xf>
    <xf numFmtId="4" fontId="18" fillId="37" borderId="11" xfId="0" applyNumberFormat="1" applyFont="1" applyFill="1" applyBorder="1" applyAlignment="1">
      <alignment horizontal="right" vertical="center"/>
    </xf>
    <xf numFmtId="4" fontId="21" fillId="38" borderId="13" xfId="0" applyNumberFormat="1" applyFont="1" applyFill="1" applyBorder="1" applyAlignment="1">
      <alignment horizontal="right" vertical="center"/>
    </xf>
    <xf numFmtId="4" fontId="18" fillId="43" borderId="13" xfId="0" applyNumberFormat="1" applyFont="1" applyFill="1" applyBorder="1" applyAlignment="1">
      <alignment horizontal="right" vertical="center"/>
    </xf>
    <xf numFmtId="0" fontId="2" fillId="38" borderId="0" xfId="0" applyFont="1" applyFill="1" applyAlignment="1">
      <alignment vertical="center"/>
    </xf>
    <xf numFmtId="0" fontId="21" fillId="0" borderId="11" xfId="0" applyFont="1" applyBorder="1" applyAlignment="1">
      <alignment vertical="center" wrapText="1"/>
    </xf>
    <xf numFmtId="4" fontId="21" fillId="38" borderId="23" xfId="0" applyNumberFormat="1" applyFont="1" applyFill="1" applyBorder="1" applyAlignment="1">
      <alignment horizontal="right" vertical="center"/>
    </xf>
    <xf numFmtId="2" fontId="21" fillId="38" borderId="13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 horizontal="right"/>
    </xf>
    <xf numFmtId="0" fontId="18" fillId="33" borderId="22" xfId="0" applyFont="1" applyFill="1" applyBorder="1" applyAlignment="1">
      <alignment vertical="center" wrapText="1"/>
    </xf>
    <xf numFmtId="4" fontId="18" fillId="37" borderId="23" xfId="0" applyNumberFormat="1" applyFont="1" applyFill="1" applyBorder="1" applyAlignment="1">
      <alignment horizontal="right" vertical="center"/>
    </xf>
    <xf numFmtId="4" fontId="27" fillId="37" borderId="23" xfId="0" applyNumberFormat="1" applyFont="1" applyFill="1" applyBorder="1" applyAlignment="1">
      <alignment horizontal="right" vertical="center"/>
    </xf>
    <xf numFmtId="4" fontId="18" fillId="37" borderId="24" xfId="0" applyNumberFormat="1" applyFont="1" applyFill="1" applyBorder="1" applyAlignment="1">
      <alignment horizontal="right" vertical="center"/>
    </xf>
    <xf numFmtId="4" fontId="27" fillId="38" borderId="33" xfId="0" applyNumberFormat="1" applyFont="1" applyFill="1" applyBorder="1" applyAlignment="1">
      <alignment horizontal="right" vertical="center"/>
    </xf>
    <xf numFmtId="4" fontId="27" fillId="38" borderId="33" xfId="0" applyNumberFormat="1" applyFont="1" applyFill="1" applyBorder="1" applyAlignment="1">
      <alignment horizontal="right" vertical="center"/>
    </xf>
    <xf numFmtId="4" fontId="26" fillId="38" borderId="22" xfId="0" applyNumberFormat="1" applyFont="1" applyFill="1" applyBorder="1" applyAlignment="1">
      <alignment horizontal="right" vertical="center"/>
    </xf>
    <xf numFmtId="2" fontId="21" fillId="38" borderId="24" xfId="0" applyNumberFormat="1" applyFont="1" applyFill="1" applyBorder="1" applyAlignment="1">
      <alignment horizontal="right" vertical="center"/>
    </xf>
    <xf numFmtId="2" fontId="18" fillId="38" borderId="34" xfId="0" applyNumberFormat="1" applyFont="1" applyFill="1" applyBorder="1" applyAlignment="1">
      <alignment horizontal="right" vertical="center"/>
    </xf>
    <xf numFmtId="49" fontId="18" fillId="38" borderId="11" xfId="0" applyNumberFormat="1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wrapText="1"/>
    </xf>
    <xf numFmtId="0" fontId="32" fillId="38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4" fontId="27" fillId="41" borderId="11" xfId="0" applyNumberFormat="1" applyFont="1" applyFill="1" applyBorder="1" applyAlignment="1">
      <alignment horizontal="right" vertical="center"/>
    </xf>
    <xf numFmtId="4" fontId="26" fillId="41" borderId="22" xfId="0" applyNumberFormat="1" applyFont="1" applyFill="1" applyBorder="1" applyAlignment="1">
      <alignment horizontal="right" vertical="center"/>
    </xf>
    <xf numFmtId="2" fontId="21" fillId="41" borderId="24" xfId="0" applyNumberFormat="1" applyFont="1" applyFill="1" applyBorder="1" applyAlignment="1">
      <alignment horizontal="right" vertical="center"/>
    </xf>
    <xf numFmtId="4" fontId="27" fillId="35" borderId="11" xfId="0" applyNumberFormat="1" applyFont="1" applyFill="1" applyBorder="1" applyAlignment="1">
      <alignment horizontal="right" vertical="center"/>
    </xf>
    <xf numFmtId="4" fontId="27" fillId="35" borderId="22" xfId="0" applyNumberFormat="1" applyFont="1" applyFill="1" applyBorder="1" applyAlignment="1">
      <alignment horizontal="right" vertical="center"/>
    </xf>
    <xf numFmtId="2" fontId="18" fillId="35" borderId="24" xfId="0" applyNumberFormat="1" applyFont="1" applyFill="1" applyBorder="1" applyAlignment="1">
      <alignment horizontal="right" vertical="center"/>
    </xf>
    <xf numFmtId="4" fontId="26" fillId="38" borderId="11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right" vertical="center"/>
    </xf>
    <xf numFmtId="4" fontId="18" fillId="38" borderId="11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0" fontId="21" fillId="38" borderId="16" xfId="0" applyFont="1" applyFill="1" applyBorder="1" applyAlignment="1">
      <alignment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8" fillId="38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left" vertical="center"/>
    </xf>
    <xf numFmtId="0" fontId="21" fillId="38" borderId="11" xfId="0" applyFont="1" applyFill="1" applyBorder="1" applyAlignment="1">
      <alignment horizontal="left" vertical="center" wrapText="1"/>
    </xf>
    <xf numFmtId="0" fontId="18" fillId="38" borderId="11" xfId="0" applyFont="1" applyFill="1" applyBorder="1" applyAlignment="1">
      <alignment horizontal="left" vertical="center"/>
    </xf>
    <xf numFmtId="0" fontId="18" fillId="38" borderId="11" xfId="0" applyFont="1" applyFill="1" applyBorder="1" applyAlignment="1">
      <alignment horizontal="left" vertical="center" wrapText="1"/>
    </xf>
    <xf numFmtId="49" fontId="34" fillId="38" borderId="11" xfId="0" applyNumberFormat="1" applyFont="1" applyFill="1" applyBorder="1" applyAlignment="1">
      <alignment horizontal="center" vertical="center"/>
    </xf>
    <xf numFmtId="0" fontId="34" fillId="38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33" borderId="5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8" fillId="38" borderId="10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right" vertical="center"/>
    </xf>
    <xf numFmtId="4" fontId="27" fillId="35" borderId="23" xfId="0" applyNumberFormat="1" applyFont="1" applyFill="1" applyBorder="1" applyAlignment="1">
      <alignment horizontal="right" vertical="center"/>
    </xf>
    <xf numFmtId="4" fontId="27" fillId="35" borderId="12" xfId="0" applyNumberFormat="1" applyFont="1" applyFill="1" applyBorder="1" applyAlignment="1">
      <alignment horizontal="right" vertical="center"/>
    </xf>
    <xf numFmtId="0" fontId="21" fillId="38" borderId="11" xfId="0" applyFont="1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/>
    </xf>
    <xf numFmtId="49" fontId="21" fillId="38" borderId="32" xfId="0" applyNumberFormat="1" applyFont="1" applyFill="1" applyBorder="1" applyAlignment="1">
      <alignment horizontal="center" vertical="center"/>
    </xf>
    <xf numFmtId="0" fontId="18" fillId="38" borderId="22" xfId="0" applyFont="1" applyFill="1" applyBorder="1" applyAlignment="1">
      <alignment horizontal="center" vertical="center"/>
    </xf>
    <xf numFmtId="0" fontId="21" fillId="38" borderId="22" xfId="0" applyFont="1" applyFill="1" applyBorder="1" applyAlignment="1">
      <alignment horizontal="right" vertical="center"/>
    </xf>
    <xf numFmtId="0" fontId="21" fillId="38" borderId="22" xfId="0" applyFont="1" applyFill="1" applyBorder="1" applyAlignment="1">
      <alignment vertical="center" wrapText="1"/>
    </xf>
    <xf numFmtId="4" fontId="18" fillId="35" borderId="1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" fontId="77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8" fillId="38" borderId="23" xfId="0" applyNumberFormat="1" applyFont="1" applyFill="1" applyBorder="1" applyAlignment="1">
      <alignment horizontal="right" vertical="center"/>
    </xf>
    <xf numFmtId="0" fontId="21" fillId="33" borderId="22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4" fontId="21" fillId="41" borderId="2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4" fontId="0" fillId="38" borderId="0" xfId="0" applyNumberFormat="1" applyFill="1" applyAlignment="1">
      <alignment/>
    </xf>
    <xf numFmtId="4" fontId="18" fillId="44" borderId="13" xfId="0" applyNumberFormat="1" applyFont="1" applyFill="1" applyBorder="1" applyAlignment="1">
      <alignment horizontal="right" vertical="center"/>
    </xf>
    <xf numFmtId="4" fontId="18" fillId="30" borderId="11" xfId="0" applyNumberFormat="1" applyFont="1" applyFill="1" applyBorder="1" applyAlignment="1">
      <alignment horizontal="right" vertical="center"/>
    </xf>
    <xf numFmtId="4" fontId="18" fillId="30" borderId="14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21" fillId="0" borderId="33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4" fontId="21" fillId="0" borderId="51" xfId="0" applyNumberFormat="1" applyFont="1" applyBorder="1" applyAlignment="1">
      <alignment horizontal="right" vertical="center"/>
    </xf>
    <xf numFmtId="4" fontId="21" fillId="0" borderId="46" xfId="0" applyNumberFormat="1" applyFont="1" applyBorder="1" applyAlignment="1">
      <alignment horizontal="right" vertical="center"/>
    </xf>
    <xf numFmtId="2" fontId="21" fillId="38" borderId="24" xfId="0" applyNumberFormat="1" applyFont="1" applyFill="1" applyBorder="1" applyAlignment="1">
      <alignment horizontal="right" vertical="center"/>
    </xf>
    <xf numFmtId="4" fontId="26" fillId="38" borderId="13" xfId="0" applyNumberFormat="1" applyFont="1" applyFill="1" applyBorder="1" applyAlignment="1">
      <alignment horizontal="right" vertical="center"/>
    </xf>
    <xf numFmtId="4" fontId="26" fillId="41" borderId="11" xfId="0" applyNumberFormat="1" applyFont="1" applyFill="1" applyBorder="1" applyAlignment="1">
      <alignment horizontal="right" vertical="center"/>
    </xf>
    <xf numFmtId="4" fontId="21" fillId="37" borderId="24" xfId="0" applyNumberFormat="1" applyFont="1" applyFill="1" applyBorder="1" applyAlignment="1">
      <alignment horizontal="right" vertical="center"/>
    </xf>
    <xf numFmtId="2" fontId="21" fillId="37" borderId="24" xfId="0" applyNumberFormat="1" applyFont="1" applyFill="1" applyBorder="1" applyAlignment="1">
      <alignment horizontal="right" vertical="center"/>
    </xf>
    <xf numFmtId="4" fontId="18" fillId="35" borderId="24" xfId="0" applyNumberFormat="1" applyFont="1" applyFill="1" applyBorder="1" applyAlignment="1">
      <alignment horizontal="right" vertical="center"/>
    </xf>
    <xf numFmtId="4" fontId="18" fillId="35" borderId="13" xfId="0" applyNumberFormat="1" applyFont="1" applyFill="1" applyBorder="1" applyAlignment="1">
      <alignment horizontal="right" vertical="center"/>
    </xf>
    <xf numFmtId="4" fontId="27" fillId="35" borderId="13" xfId="0" applyNumberFormat="1" applyFont="1" applyFill="1" applyBorder="1" applyAlignment="1">
      <alignment horizontal="right" vertical="center"/>
    </xf>
    <xf numFmtId="2" fontId="18" fillId="35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2" fontId="21" fillId="41" borderId="24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52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4" fontId="16" fillId="0" borderId="0" xfId="0" applyNumberFormat="1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4" fontId="18" fillId="38" borderId="13" xfId="0" applyNumberFormat="1" applyFont="1" applyFill="1" applyBorder="1" applyAlignment="1">
      <alignment horizontal="right" vertical="center"/>
    </xf>
    <xf numFmtId="4" fontId="0" fillId="38" borderId="0" xfId="0" applyNumberFormat="1" applyFont="1" applyFill="1" applyAlignment="1">
      <alignment/>
    </xf>
    <xf numFmtId="4" fontId="21" fillId="0" borderId="0" xfId="0" applyNumberFormat="1" applyFont="1" applyBorder="1" applyAlignment="1">
      <alignment vertical="center"/>
    </xf>
    <xf numFmtId="4" fontId="18" fillId="33" borderId="33" xfId="0" applyNumberFormat="1" applyFont="1" applyFill="1" applyBorder="1" applyAlignment="1">
      <alignment vertical="center"/>
    </xf>
    <xf numFmtId="4" fontId="18" fillId="45" borderId="11" xfId="0" applyNumberFormat="1" applyFont="1" applyFill="1" applyBorder="1" applyAlignment="1">
      <alignment horizontal="right" vertical="center"/>
    </xf>
    <xf numFmtId="4" fontId="18" fillId="45" borderId="13" xfId="0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/>
    </xf>
    <xf numFmtId="0" fontId="79" fillId="38" borderId="0" xfId="0" applyFont="1" applyFill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49" fontId="18" fillId="38" borderId="10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4" fontId="28" fillId="33" borderId="12" xfId="0" applyNumberFormat="1" applyFont="1" applyFill="1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4" fontId="21" fillId="0" borderId="54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38" borderId="39" xfId="0" applyFont="1" applyFill="1" applyBorder="1" applyAlignment="1">
      <alignment horizontal="center" vertical="center" wrapText="1"/>
    </xf>
    <xf numFmtId="0" fontId="18" fillId="38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8" fillId="38" borderId="60" xfId="0" applyFont="1" applyFill="1" applyBorder="1" applyAlignment="1">
      <alignment horizontal="center" vertical="center" wrapText="1"/>
    </xf>
    <xf numFmtId="0" fontId="18" fillId="38" borderId="2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33" fillId="37" borderId="33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32" fillId="36" borderId="23" xfId="0" applyFont="1" applyFill="1" applyBorder="1" applyAlignment="1">
      <alignment horizontal="center" vertical="center"/>
    </xf>
    <xf numFmtId="0" fontId="32" fillId="36" borderId="11" xfId="0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52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/>
    </xf>
    <xf numFmtId="0" fontId="32" fillId="36" borderId="11" xfId="0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horizontal="center" vertical="center"/>
    </xf>
    <xf numFmtId="49" fontId="18" fillId="38" borderId="10" xfId="0" applyNumberFormat="1" applyFont="1" applyFill="1" applyBorder="1" applyAlignment="1">
      <alignment horizontal="center" vertical="center"/>
    </xf>
    <xf numFmtId="49" fontId="18" fillId="38" borderId="5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32" fillId="36" borderId="61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62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 wrapText="1"/>
    </xf>
    <xf numFmtId="0" fontId="32" fillId="36" borderId="23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18" fillId="38" borderId="63" xfId="0" applyFont="1" applyFill="1" applyBorder="1" applyAlignment="1">
      <alignment horizontal="center" vertical="center" wrapText="1"/>
    </xf>
    <xf numFmtId="0" fontId="18" fillId="38" borderId="31" xfId="0" applyFont="1" applyFill="1" applyBorder="1" applyAlignment="1">
      <alignment horizontal="center" vertical="center" wrapText="1"/>
    </xf>
    <xf numFmtId="0" fontId="18" fillId="38" borderId="38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52" xfId="0" applyNumberFormat="1" applyFont="1" applyFill="1" applyBorder="1" applyAlignment="1">
      <alignment horizontal="center" vertical="center"/>
    </xf>
    <xf numFmtId="0" fontId="28" fillId="33" borderId="50" xfId="0" applyFont="1" applyFill="1" applyBorder="1" applyAlignment="1">
      <alignment horizontal="center" vertical="center"/>
    </xf>
    <xf numFmtId="0" fontId="28" fillId="33" borderId="67" xfId="0" applyFont="1" applyFill="1" applyBorder="1" applyAlignment="1">
      <alignment horizontal="center" vertical="center"/>
    </xf>
    <xf numFmtId="0" fontId="18" fillId="34" borderId="68" xfId="0" applyFont="1" applyFill="1" applyBorder="1" applyAlignment="1">
      <alignment horizontal="center" vertical="center"/>
    </xf>
    <xf numFmtId="0" fontId="18" fillId="34" borderId="67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 vertical="center" wrapText="1"/>
    </xf>
    <xf numFmtId="0" fontId="33" fillId="36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11</xdr:col>
      <xdr:colOff>28575</xdr:colOff>
      <xdr:row>8</xdr:row>
      <xdr:rowOff>47625</xdr:rowOff>
    </xdr:to>
    <xdr:pic>
      <xdr:nvPicPr>
        <xdr:cNvPr id="1" name="Picture 37" descr="01 1_1  CIRI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5762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11">
      <selection activeCell="Q27" sqref="Q27"/>
    </sheetView>
  </sheetViews>
  <sheetFormatPr defaultColWidth="9.140625" defaultRowHeight="12.75"/>
  <sheetData>
    <row r="1" spans="1:13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24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ht="12.75" customHeight="1"/>
    <row r="6" ht="12.75" customHeight="1"/>
    <row r="7" ht="12.75" customHeight="1"/>
    <row r="8" spans="9:11" ht="15">
      <c r="I8" s="13"/>
      <c r="J8" s="13"/>
      <c r="K8" s="13"/>
    </row>
    <row r="9" spans="9:11" ht="15">
      <c r="I9" s="13"/>
      <c r="J9" s="14"/>
      <c r="K9" s="13"/>
    </row>
    <row r="10" spans="9:11" ht="15">
      <c r="I10" s="13"/>
      <c r="J10" s="14"/>
      <c r="K10" s="13"/>
    </row>
    <row r="11" spans="8:11" ht="12.75" customHeight="1">
      <c r="H11" s="15"/>
      <c r="I11" s="13"/>
      <c r="J11" s="16"/>
      <c r="K11" s="17"/>
    </row>
    <row r="12" ht="12.75" customHeight="1"/>
    <row r="13" ht="7.5" customHeight="1"/>
    <row r="14" spans="10:12" ht="12.75" customHeight="1">
      <c r="J14" s="40"/>
      <c r="K14" s="447"/>
      <c r="L14" s="49"/>
    </row>
    <row r="15" spans="11:13" ht="15.75">
      <c r="K15" s="476"/>
      <c r="L15" s="476"/>
      <c r="M15" s="476"/>
    </row>
    <row r="16" ht="6" customHeight="1"/>
    <row r="17" ht="12.75" customHeight="1"/>
    <row r="18" spans="1:13" ht="12.75" customHeight="1">
      <c r="A18" s="474" t="s">
        <v>652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</row>
    <row r="19" spans="1:13" ht="12.75" customHeight="1">
      <c r="A19" s="474"/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</row>
    <row r="20" spans="1:13" ht="34.5" customHeight="1">
      <c r="A20" s="474"/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</row>
    <row r="21" spans="1:13" ht="16.5" customHeight="1">
      <c r="A21" s="474"/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</row>
    <row r="22" ht="12.75" customHeight="1"/>
    <row r="23" ht="9" customHeight="1"/>
    <row r="28" spans="1:12" ht="15">
      <c r="A28" s="448"/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</row>
    <row r="29" spans="1:12" ht="15">
      <c r="A29" s="448" t="s">
        <v>687</v>
      </c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</row>
    <row r="33" spans="1:13" ht="15.75">
      <c r="A33" s="39"/>
      <c r="B33" s="39"/>
      <c r="C33" s="39"/>
      <c r="D33" s="39"/>
      <c r="E33" s="39"/>
      <c r="F33" s="39"/>
      <c r="G33" s="39"/>
      <c r="H33" s="475"/>
      <c r="I33" s="475"/>
      <c r="J33" s="475"/>
      <c r="K33" s="475"/>
      <c r="L33" s="475"/>
      <c r="M33" s="475"/>
    </row>
    <row r="34" spans="1:13" ht="15.75">
      <c r="A34" s="475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</row>
  </sheetData>
  <sheetProtection/>
  <mergeCells count="4">
    <mergeCell ref="A18:M21"/>
    <mergeCell ref="H33:M33"/>
    <mergeCell ref="K15:M15"/>
    <mergeCell ref="A34:M34"/>
  </mergeCells>
  <printOptions/>
  <pageMargins left="0.75" right="0.75" top="1" bottom="1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50">
      <selection activeCell="E76" sqref="E76"/>
    </sheetView>
  </sheetViews>
  <sheetFormatPr defaultColWidth="9.140625" defaultRowHeight="12.75"/>
  <cols>
    <col min="1" max="1" width="11.00390625" style="0" bestFit="1" customWidth="1"/>
    <col min="2" max="2" width="58.00390625" style="0" customWidth="1"/>
    <col min="3" max="5" width="16.140625" style="24" customWidth="1"/>
    <col min="6" max="6" width="11.28125" style="24" customWidth="1"/>
    <col min="7" max="7" width="9.140625" style="0" customWidth="1"/>
    <col min="8" max="8" width="14.8515625" style="0" customWidth="1"/>
  </cols>
  <sheetData>
    <row r="1" spans="1:6" ht="47.25" customHeight="1" thickBot="1">
      <c r="A1" s="477" t="s">
        <v>647</v>
      </c>
      <c r="B1" s="477"/>
      <c r="C1" s="477"/>
      <c r="D1" s="477"/>
      <c r="E1" s="477"/>
      <c r="F1" s="477"/>
    </row>
    <row r="2" spans="1:6" ht="18.75" customHeight="1" thickTop="1">
      <c r="A2" s="478" t="s">
        <v>57</v>
      </c>
      <c r="B2" s="480" t="s">
        <v>203</v>
      </c>
      <c r="C2" s="484" t="s">
        <v>499</v>
      </c>
      <c r="D2" s="486" t="s">
        <v>633</v>
      </c>
      <c r="E2" s="486" t="s">
        <v>634</v>
      </c>
      <c r="F2" s="482" t="s">
        <v>109</v>
      </c>
    </row>
    <row r="3" spans="1:6" ht="29.25" customHeight="1">
      <c r="A3" s="479"/>
      <c r="B3" s="481"/>
      <c r="C3" s="485"/>
      <c r="D3" s="487"/>
      <c r="E3" s="487"/>
      <c r="F3" s="483"/>
    </row>
    <row r="4" spans="1:6" s="5" customFormat="1" ht="12.75" customHeight="1">
      <c r="A4" s="115">
        <v>1</v>
      </c>
      <c r="B4" s="112">
        <v>2</v>
      </c>
      <c r="C4" s="113">
        <v>3</v>
      </c>
      <c r="D4" s="113" t="s">
        <v>639</v>
      </c>
      <c r="E4" s="113">
        <v>5</v>
      </c>
      <c r="F4" s="114" t="s">
        <v>645</v>
      </c>
    </row>
    <row r="5" spans="1:6" ht="18" customHeight="1">
      <c r="A5" s="281"/>
      <c r="B5" s="58" t="s">
        <v>246</v>
      </c>
      <c r="C5" s="306">
        <f>C6+C13+C19+C21</f>
        <v>21626300</v>
      </c>
      <c r="D5" s="306">
        <f>D6+D13+D19+D21</f>
        <v>2573345.0700000003</v>
      </c>
      <c r="E5" s="306">
        <f>E6+E13+E19+E21</f>
        <v>24199645.07</v>
      </c>
      <c r="F5" s="62">
        <f aca="true" t="shared" si="0" ref="F5:F25">E5/C5*100</f>
        <v>111.89914627097562</v>
      </c>
    </row>
    <row r="6" spans="1:6" ht="15" customHeight="1">
      <c r="A6" s="307">
        <v>710000</v>
      </c>
      <c r="B6" s="308" t="s">
        <v>215</v>
      </c>
      <c r="C6" s="68">
        <f>C7+C8+C9+C10+C11+C12</f>
        <v>13218000</v>
      </c>
      <c r="D6" s="68">
        <f>D7+D8+D9+D10+D11+D12</f>
        <v>1924600</v>
      </c>
      <c r="E6" s="68">
        <f>E7+E8+E9+E10+E11+E12</f>
        <v>15142600</v>
      </c>
      <c r="F6" s="69">
        <f t="shared" si="0"/>
        <v>114.56044787411106</v>
      </c>
    </row>
    <row r="7" spans="1:6" ht="12" customHeight="1">
      <c r="A7" s="273">
        <v>711100</v>
      </c>
      <c r="B7" s="72" t="s">
        <v>184</v>
      </c>
      <c r="C7" s="158">
        <f>'B.pr. i prim. za nef. im.'!D7</f>
        <v>0</v>
      </c>
      <c r="D7" s="158">
        <f>'B.pr. i prim. za nef. im.'!E7</f>
        <v>600</v>
      </c>
      <c r="E7" s="158">
        <f>'B.pr. i prim. za nef. im.'!F7</f>
        <v>600</v>
      </c>
      <c r="F7" s="341" t="e">
        <f t="shared" si="0"/>
        <v>#DIV/0!</v>
      </c>
    </row>
    <row r="8" spans="1:6" ht="12.75">
      <c r="A8" s="273">
        <v>713000</v>
      </c>
      <c r="B8" s="80" t="s">
        <v>4</v>
      </c>
      <c r="C8" s="158">
        <f>'B.pr. i prim. za nef. im.'!D9</f>
        <v>765000</v>
      </c>
      <c r="D8" s="158">
        <f>'B.pr. i prim. za nef. im.'!E9</f>
        <v>325000</v>
      </c>
      <c r="E8" s="158">
        <f>'B.pr. i prim. za nef. im.'!F9</f>
        <v>1090000</v>
      </c>
      <c r="F8" s="341">
        <f t="shared" si="0"/>
        <v>142.48366013071896</v>
      </c>
    </row>
    <row r="9" spans="1:6" ht="14.25" customHeight="1">
      <c r="A9" s="273">
        <v>714000</v>
      </c>
      <c r="B9" s="80" t="s">
        <v>8</v>
      </c>
      <c r="C9" s="158">
        <f>'B.pr. i prim. za nef. im.'!D12</f>
        <v>250000</v>
      </c>
      <c r="D9" s="158">
        <f>'B.pr. i prim. za nef. im.'!E12</f>
        <v>0</v>
      </c>
      <c r="E9" s="158">
        <f>'B.pr. i prim. za nef. im.'!F12</f>
        <v>250000</v>
      </c>
      <c r="F9" s="341">
        <f t="shared" si="0"/>
        <v>100</v>
      </c>
    </row>
    <row r="10" spans="1:6" ht="14.25" customHeight="1">
      <c r="A10" s="273">
        <v>715000</v>
      </c>
      <c r="B10" s="80" t="s">
        <v>151</v>
      </c>
      <c r="C10" s="158">
        <f>'B.pr. i prim. za nef. im.'!D14</f>
        <v>3000</v>
      </c>
      <c r="D10" s="158">
        <f>'B.pr. i prim. za nef. im.'!E14</f>
        <v>-1000</v>
      </c>
      <c r="E10" s="158">
        <f>'B.pr. i prim. za nef. im.'!F14</f>
        <v>2000</v>
      </c>
      <c r="F10" s="341">
        <f t="shared" si="0"/>
        <v>66.66666666666666</v>
      </c>
    </row>
    <row r="11" spans="1:6" ht="14.25" customHeight="1">
      <c r="A11" s="273">
        <v>717000</v>
      </c>
      <c r="B11" s="72" t="s">
        <v>304</v>
      </c>
      <c r="C11" s="158">
        <f>'B.pr. i prim. za nef. im.'!D18</f>
        <v>11200000</v>
      </c>
      <c r="D11" s="158">
        <f>'B.pr. i prim. za nef. im.'!E18</f>
        <v>1600000</v>
      </c>
      <c r="E11" s="158">
        <f>'B.pr. i prim. za nef. im.'!F18</f>
        <v>12800000</v>
      </c>
      <c r="F11" s="341">
        <f t="shared" si="0"/>
        <v>114.28571428571428</v>
      </c>
    </row>
    <row r="12" spans="1:6" ht="14.25" customHeight="1">
      <c r="A12" s="273">
        <v>719000</v>
      </c>
      <c r="B12" s="80" t="s">
        <v>305</v>
      </c>
      <c r="C12" s="158">
        <f>'B.pr. i prim. za nef. im.'!D20</f>
        <v>1000000</v>
      </c>
      <c r="D12" s="158">
        <f>'B.pr. i prim. za nef. im.'!E20</f>
        <v>0</v>
      </c>
      <c r="E12" s="158">
        <f>'B.pr. i prim. za nef. im.'!F20</f>
        <v>1000000</v>
      </c>
      <c r="F12" s="341">
        <f t="shared" si="0"/>
        <v>100</v>
      </c>
    </row>
    <row r="13" spans="1:8" ht="15" customHeight="1">
      <c r="A13" s="307">
        <v>720000</v>
      </c>
      <c r="B13" s="308" t="s">
        <v>218</v>
      </c>
      <c r="C13" s="68">
        <f>SUM(C14:C18)</f>
        <v>6906400</v>
      </c>
      <c r="D13" s="68">
        <f>SUM(D14:D18)</f>
        <v>367872.18</v>
      </c>
      <c r="E13" s="68">
        <f>SUM(E14:E18)</f>
        <v>7274272.18</v>
      </c>
      <c r="F13" s="69">
        <f t="shared" si="0"/>
        <v>105.32654031043668</v>
      </c>
      <c r="H13" s="1"/>
    </row>
    <row r="14" spans="1:8" ht="14.25" customHeight="1">
      <c r="A14" s="277">
        <v>721000</v>
      </c>
      <c r="B14" s="72" t="s">
        <v>152</v>
      </c>
      <c r="C14" s="158">
        <f>'B.pr. i prim. za nef. im.'!D23</f>
        <v>331300</v>
      </c>
      <c r="D14" s="158">
        <f>'B.pr. i prim. za nef. im.'!E23</f>
        <v>0</v>
      </c>
      <c r="E14" s="158">
        <f>'B.pr. i prim. za nef. im.'!F23</f>
        <v>331300</v>
      </c>
      <c r="F14" s="341">
        <f t="shared" si="0"/>
        <v>100</v>
      </c>
      <c r="H14" s="1"/>
    </row>
    <row r="15" spans="1:6" ht="14.25" customHeight="1">
      <c r="A15" s="277">
        <v>722000</v>
      </c>
      <c r="B15" s="77" t="s">
        <v>155</v>
      </c>
      <c r="C15" s="158">
        <f>'B.pr. i prim. za nef. im.'!D31</f>
        <v>6402000</v>
      </c>
      <c r="D15" s="158">
        <f>'B.pr. i prim. za nef. im.'!E31</f>
        <v>132516.77999999997</v>
      </c>
      <c r="E15" s="158">
        <f>'B.pr. i prim. za nef. im.'!F31</f>
        <v>6534516.779999999</v>
      </c>
      <c r="F15" s="341">
        <f t="shared" si="0"/>
        <v>102.06992783505153</v>
      </c>
    </row>
    <row r="16" spans="1:6" ht="14.25" customHeight="1">
      <c r="A16" s="277">
        <v>723000</v>
      </c>
      <c r="B16" s="80" t="s">
        <v>19</v>
      </c>
      <c r="C16" s="309">
        <f>'B.pr. i prim. za nef. im.'!D77</f>
        <v>40000</v>
      </c>
      <c r="D16" s="309">
        <f>'B.pr. i prim. za nef. im.'!E77</f>
        <v>900</v>
      </c>
      <c r="E16" s="309">
        <f>'B.pr. i prim. za nef. im.'!F77</f>
        <v>40900</v>
      </c>
      <c r="F16" s="341">
        <f t="shared" si="0"/>
        <v>102.25</v>
      </c>
    </row>
    <row r="17" spans="1:6" ht="25.5" customHeight="1">
      <c r="A17" s="299">
        <v>728000</v>
      </c>
      <c r="B17" s="371" t="s">
        <v>557</v>
      </c>
      <c r="C17" s="309">
        <f>'B.pr. i prim. za nef. im.'!D79</f>
        <v>33100</v>
      </c>
      <c r="D17" s="309">
        <f>'B.pr. i prim. za nef. im.'!E79</f>
        <v>0</v>
      </c>
      <c r="E17" s="309">
        <f>'B.pr. i prim. za nef. im.'!F79</f>
        <v>33100</v>
      </c>
      <c r="F17" s="341">
        <f t="shared" si="0"/>
        <v>100</v>
      </c>
    </row>
    <row r="18" spans="1:6" ht="12.75">
      <c r="A18" s="277">
        <v>729000</v>
      </c>
      <c r="B18" s="77" t="s">
        <v>20</v>
      </c>
      <c r="C18" s="309">
        <f>'B.pr. i prim. za nef. im.'!D82</f>
        <v>100000</v>
      </c>
      <c r="D18" s="309">
        <f>'B.pr. i prim. za nef. im.'!E82</f>
        <v>234455.40000000002</v>
      </c>
      <c r="E18" s="309">
        <f>'B.pr. i prim. za nef. im.'!F82</f>
        <v>334455.4</v>
      </c>
      <c r="F18" s="341">
        <f t="shared" si="0"/>
        <v>334.4554</v>
      </c>
    </row>
    <row r="19" spans="1:6" ht="15" customHeight="1">
      <c r="A19" s="307">
        <v>730000</v>
      </c>
      <c r="B19" s="310" t="s">
        <v>224</v>
      </c>
      <c r="C19" s="68">
        <f>C20</f>
        <v>0</v>
      </c>
      <c r="D19" s="68">
        <f>D20</f>
        <v>90400</v>
      </c>
      <c r="E19" s="68">
        <f>E20</f>
        <v>90400</v>
      </c>
      <c r="F19" s="69" t="e">
        <f t="shared" si="0"/>
        <v>#DIV/0!</v>
      </c>
    </row>
    <row r="20" spans="1:6" ht="15" customHeight="1">
      <c r="A20" s="273">
        <v>731000</v>
      </c>
      <c r="B20" s="98" t="s">
        <v>133</v>
      </c>
      <c r="C20" s="158">
        <f>'B.pr. i prim. za nef. im.'!D84</f>
        <v>0</v>
      </c>
      <c r="D20" s="158">
        <f>'B.pr. i prim. za nef. im.'!E84</f>
        <v>90400</v>
      </c>
      <c r="E20" s="158">
        <f>'B.pr. i prim. za nef. im.'!F84</f>
        <v>90400</v>
      </c>
      <c r="F20" s="341" t="e">
        <f t="shared" si="0"/>
        <v>#DIV/0!</v>
      </c>
    </row>
    <row r="21" spans="1:8" s="2" customFormat="1" ht="15" customHeight="1">
      <c r="A21" s="307">
        <v>780000</v>
      </c>
      <c r="B21" s="272" t="s">
        <v>306</v>
      </c>
      <c r="C21" s="68">
        <f>C22</f>
        <v>1501900</v>
      </c>
      <c r="D21" s="68">
        <f>D22</f>
        <v>190472.89</v>
      </c>
      <c r="E21" s="68">
        <f>E22</f>
        <v>1692372.89</v>
      </c>
      <c r="F21" s="69">
        <f t="shared" si="0"/>
        <v>112.6821286370597</v>
      </c>
      <c r="H21"/>
    </row>
    <row r="22" spans="1:8" s="2" customFormat="1" ht="15" customHeight="1">
      <c r="A22" s="273">
        <v>787000</v>
      </c>
      <c r="B22" s="80" t="s">
        <v>307</v>
      </c>
      <c r="C22" s="158">
        <f>'B.pr. i prim. za nef. im.'!D91</f>
        <v>1501900</v>
      </c>
      <c r="D22" s="158">
        <f>'B.pr. i prim. za nef. im.'!E91</f>
        <v>190472.89</v>
      </c>
      <c r="E22" s="158">
        <f>'B.pr. i prim. za nef. im.'!F91</f>
        <v>1692372.89</v>
      </c>
      <c r="F22" s="341">
        <f t="shared" si="0"/>
        <v>112.6821286370597</v>
      </c>
      <c r="H22"/>
    </row>
    <row r="23" spans="1:8" s="2" customFormat="1" ht="15" customHeight="1">
      <c r="A23" s="277"/>
      <c r="B23" s="58" t="s">
        <v>310</v>
      </c>
      <c r="C23" s="61">
        <f>C24+C33+C35</f>
        <v>18704310</v>
      </c>
      <c r="D23" s="61">
        <f>D24+D33+D35</f>
        <v>1055980</v>
      </c>
      <c r="E23" s="61">
        <f>E24+E33+E35</f>
        <v>19760290.000000004</v>
      </c>
      <c r="F23" s="62">
        <f t="shared" si="0"/>
        <v>105.6456506548491</v>
      </c>
      <c r="H23"/>
    </row>
    <row r="24" spans="1:8" s="2" customFormat="1" ht="15" customHeight="1">
      <c r="A24" s="307">
        <v>410000</v>
      </c>
      <c r="B24" s="272" t="s">
        <v>247</v>
      </c>
      <c r="C24" s="68">
        <f>SUM(C25:C32)</f>
        <v>18227810</v>
      </c>
      <c r="D24" s="68">
        <f>SUM(D25:D32)</f>
        <v>1186037.77</v>
      </c>
      <c r="E24" s="68">
        <f>SUM(E25:E32)</f>
        <v>19413847.770000003</v>
      </c>
      <c r="F24" s="69">
        <f t="shared" si="0"/>
        <v>106.50674858910645</v>
      </c>
      <c r="H24" s="1"/>
    </row>
    <row r="25" spans="1:8" s="2" customFormat="1" ht="14.25" customHeight="1">
      <c r="A25" s="273">
        <v>411000</v>
      </c>
      <c r="B25" s="98" t="s">
        <v>118</v>
      </c>
      <c r="C25" s="158">
        <f>'B.rash. i izdaci za nef. im.'!C6</f>
        <v>8627840</v>
      </c>
      <c r="D25" s="158">
        <f>'B.rash. i izdaci za nef. im.'!D6</f>
        <v>803190</v>
      </c>
      <c r="E25" s="158">
        <f>'B.rash. i izdaci za nef. im.'!E6</f>
        <v>9431030</v>
      </c>
      <c r="F25" s="341">
        <f t="shared" si="0"/>
        <v>109.30928250871597</v>
      </c>
      <c r="H25" s="1"/>
    </row>
    <row r="26" spans="1:8" s="2" customFormat="1" ht="12.75">
      <c r="A26" s="273">
        <v>412000</v>
      </c>
      <c r="B26" s="208" t="s">
        <v>119</v>
      </c>
      <c r="C26" s="99">
        <f>'B.rash. i izdaci za nef. im.'!C11</f>
        <v>3666320</v>
      </c>
      <c r="D26" s="99">
        <f>'B.rash. i izdaci za nef. im.'!D11</f>
        <v>-77428.38000000002</v>
      </c>
      <c r="E26" s="99">
        <f>'B.rash. i izdaci za nef. im.'!E11</f>
        <v>3588891.62</v>
      </c>
      <c r="F26" s="341">
        <f aca="true" t="shared" si="1" ref="F26:F32">E26/C26*100</f>
        <v>97.88811724017545</v>
      </c>
      <c r="H26"/>
    </row>
    <row r="27" spans="1:8" s="2" customFormat="1" ht="12.75">
      <c r="A27" s="273">
        <v>413000</v>
      </c>
      <c r="B27" s="72" t="s">
        <v>129</v>
      </c>
      <c r="C27" s="158">
        <f>'B.rash. i izdaci za nef. im.'!C21</f>
        <v>220000</v>
      </c>
      <c r="D27" s="158">
        <f>'B.rash. i izdaci za nef. im.'!D21</f>
        <v>0</v>
      </c>
      <c r="E27" s="158">
        <f>'B.rash. i izdaci za nef. im.'!E21</f>
        <v>220000</v>
      </c>
      <c r="F27" s="341">
        <f t="shared" si="1"/>
        <v>100</v>
      </c>
      <c r="H27"/>
    </row>
    <row r="28" spans="1:8" s="2" customFormat="1" ht="12.75">
      <c r="A28" s="273">
        <v>414000</v>
      </c>
      <c r="B28" s="98" t="s">
        <v>174</v>
      </c>
      <c r="C28" s="158">
        <f>'B.rash. i izdaci za nef. im.'!C25</f>
        <v>510000</v>
      </c>
      <c r="D28" s="158">
        <f>'B.rash. i izdaci za nef. im.'!D25</f>
        <v>40000</v>
      </c>
      <c r="E28" s="158">
        <f>'B.rash. i izdaci za nef. im.'!E25</f>
        <v>550000</v>
      </c>
      <c r="F28" s="341">
        <f t="shared" si="1"/>
        <v>107.84313725490196</v>
      </c>
      <c r="H28"/>
    </row>
    <row r="29" spans="1:8" s="2" customFormat="1" ht="12.75">
      <c r="A29" s="273">
        <v>415000</v>
      </c>
      <c r="B29" s="208" t="s">
        <v>133</v>
      </c>
      <c r="C29" s="158">
        <f>'B.rash. i izdaci za nef. im.'!C27</f>
        <v>1307500</v>
      </c>
      <c r="D29" s="158">
        <f>'B.rash. i izdaci za nef. im.'!D27</f>
        <v>118436.15</v>
      </c>
      <c r="E29" s="158">
        <f>'B.rash. i izdaci za nef. im.'!E27</f>
        <v>1425936.15</v>
      </c>
      <c r="F29" s="341">
        <f t="shared" si="1"/>
        <v>109.05821414913956</v>
      </c>
      <c r="H29"/>
    </row>
    <row r="30" spans="1:8" s="2" customFormat="1" ht="23.25" customHeight="1">
      <c r="A30" s="273">
        <v>416000</v>
      </c>
      <c r="B30" s="98" t="s">
        <v>142</v>
      </c>
      <c r="C30" s="158">
        <f>'B.rash. i izdaci za nef. im.'!C29</f>
        <v>3667100</v>
      </c>
      <c r="D30" s="158">
        <f>'B.rash. i izdaci za nef. im.'!D29</f>
        <v>326690</v>
      </c>
      <c r="E30" s="158">
        <f>'B.rash. i izdaci za nef. im.'!E29</f>
        <v>3993790</v>
      </c>
      <c r="F30" s="341">
        <f t="shared" si="1"/>
        <v>108.90867442938561</v>
      </c>
      <c r="H30"/>
    </row>
    <row r="31" spans="1:8" s="2" customFormat="1" ht="25.5">
      <c r="A31" s="273">
        <v>418000</v>
      </c>
      <c r="B31" s="98" t="s">
        <v>308</v>
      </c>
      <c r="C31" s="99">
        <f>'B.rash. i izdaci za nef. im.'!C32</f>
        <v>76550</v>
      </c>
      <c r="D31" s="99">
        <f>'B.rash. i izdaci za nef. im.'!D32</f>
        <v>1050</v>
      </c>
      <c r="E31" s="99">
        <f>'B.rash. i izdaci za nef. im.'!E32</f>
        <v>77600</v>
      </c>
      <c r="F31" s="341">
        <f t="shared" si="1"/>
        <v>101.37165251469628</v>
      </c>
      <c r="H31"/>
    </row>
    <row r="32" spans="1:8" s="2" customFormat="1" ht="14.25" customHeight="1">
      <c r="A32" s="273">
        <v>419000</v>
      </c>
      <c r="B32" s="98" t="s">
        <v>309</v>
      </c>
      <c r="C32" s="158">
        <f>'B.rash. i izdaci za nef. im.'!C36</f>
        <v>152500</v>
      </c>
      <c r="D32" s="158">
        <f>'B.rash. i izdaci za nef. im.'!D36</f>
        <v>-25900</v>
      </c>
      <c r="E32" s="158">
        <f>'B.rash. i izdaci za nef. im.'!E36</f>
        <v>126600</v>
      </c>
      <c r="F32" s="341">
        <f t="shared" si="1"/>
        <v>83.01639344262296</v>
      </c>
      <c r="H32"/>
    </row>
    <row r="33" spans="1:8" s="2" customFormat="1" ht="16.5" customHeight="1">
      <c r="A33" s="307">
        <v>480000</v>
      </c>
      <c r="B33" s="272" t="s">
        <v>312</v>
      </c>
      <c r="C33" s="68">
        <f>SUM(C34)</f>
        <v>266500</v>
      </c>
      <c r="D33" s="68">
        <f>SUM(D34)</f>
        <v>0</v>
      </c>
      <c r="E33" s="68">
        <f>SUM(E34)</f>
        <v>266500</v>
      </c>
      <c r="F33" s="69">
        <f>E33/C33*100</f>
        <v>100</v>
      </c>
      <c r="H33"/>
    </row>
    <row r="34" spans="1:8" s="2" customFormat="1" ht="16.5" customHeight="1">
      <c r="A34" s="273">
        <v>487000</v>
      </c>
      <c r="B34" s="98" t="s">
        <v>307</v>
      </c>
      <c r="C34" s="158">
        <f>'B.rash. i izdaci za nef. im.'!C38</f>
        <v>266500</v>
      </c>
      <c r="D34" s="158">
        <f>'B.rash. i izdaci za nef. im.'!D38</f>
        <v>0</v>
      </c>
      <c r="E34" s="158">
        <f>'B.rash. i izdaci za nef. im.'!E38</f>
        <v>266500</v>
      </c>
      <c r="F34" s="341">
        <f>E34/C34*100</f>
        <v>100</v>
      </c>
      <c r="H34"/>
    </row>
    <row r="35" spans="1:8" s="2" customFormat="1" ht="15.75" customHeight="1">
      <c r="A35" s="307" t="s">
        <v>190</v>
      </c>
      <c r="B35" s="272" t="s">
        <v>311</v>
      </c>
      <c r="C35" s="68">
        <f>'B.rash. i izdaci za nef. im.'!C43</f>
        <v>210000</v>
      </c>
      <c r="D35" s="68">
        <f>'B.rash. i izdaci za nef. im.'!D43</f>
        <v>-130057.77</v>
      </c>
      <c r="E35" s="68">
        <f>'B.rash. i izdaci za nef. im.'!E43</f>
        <v>79942.23</v>
      </c>
      <c r="F35" s="69">
        <f>E35/C35*100</f>
        <v>38.067728571428574</v>
      </c>
      <c r="H35"/>
    </row>
    <row r="36" spans="1:8" s="2" customFormat="1" ht="16.5" customHeight="1">
      <c r="A36" s="277"/>
      <c r="B36" s="52" t="s">
        <v>248</v>
      </c>
      <c r="C36" s="54">
        <f>C5-C23</f>
        <v>2921990</v>
      </c>
      <c r="D36" s="54">
        <f>D5-D23</f>
        <v>1517365.0700000003</v>
      </c>
      <c r="E36" s="54">
        <f>E5-E23</f>
        <v>4439355.069999997</v>
      </c>
      <c r="F36" s="55">
        <f>E36/C36*100</f>
        <v>151.92916710871688</v>
      </c>
      <c r="H36"/>
    </row>
    <row r="37" spans="1:8" s="2" customFormat="1" ht="16.5" customHeight="1">
      <c r="A37" s="277"/>
      <c r="B37" s="311" t="s">
        <v>249</v>
      </c>
      <c r="C37" s="61">
        <f>C38-C42</f>
        <v>-7109700</v>
      </c>
      <c r="D37" s="61">
        <f>D38-D42</f>
        <v>-1289195.4</v>
      </c>
      <c r="E37" s="61">
        <f>E38-E42</f>
        <v>-8398895.4</v>
      </c>
      <c r="F37" s="62" t="s">
        <v>269</v>
      </c>
      <c r="H37"/>
    </row>
    <row r="38" spans="1:6" ht="13.5" customHeight="1">
      <c r="A38" s="307">
        <v>810000</v>
      </c>
      <c r="B38" s="272" t="s">
        <v>226</v>
      </c>
      <c r="C38" s="68">
        <f>SUM(C39:C41)</f>
        <v>595000</v>
      </c>
      <c r="D38" s="68">
        <f>SUM(D39:D41)</f>
        <v>424.6</v>
      </c>
      <c r="E38" s="68">
        <f>SUM(E39:E41)</f>
        <v>595424.6</v>
      </c>
      <c r="F38" s="69">
        <f>E38/C38*100</f>
        <v>100.0713613445378</v>
      </c>
    </row>
    <row r="39" spans="1:6" ht="14.25" customHeight="1">
      <c r="A39" s="273">
        <v>813000</v>
      </c>
      <c r="B39" s="80" t="s">
        <v>157</v>
      </c>
      <c r="C39" s="158">
        <f>'B.pr. i prim. za nef. im.'!D107</f>
        <v>557000</v>
      </c>
      <c r="D39" s="158">
        <f>'B.pr. i prim. za nef. im.'!E107</f>
        <v>0</v>
      </c>
      <c r="E39" s="158">
        <f>'B.pr. i prim. za nef. im.'!F107</f>
        <v>557000</v>
      </c>
      <c r="F39" s="341">
        <f aca="true" t="shared" si="2" ref="F39:F46">E39/C39*100</f>
        <v>100</v>
      </c>
    </row>
    <row r="40" spans="1:6" ht="26.25" customHeight="1">
      <c r="A40" s="273">
        <v>814000</v>
      </c>
      <c r="B40" s="456" t="s">
        <v>680</v>
      </c>
      <c r="C40" s="158">
        <f>'B.pr. i prim. za nef. im.'!D109</f>
        <v>0</v>
      </c>
      <c r="D40" s="158">
        <f>'B.pr. i prim. za nef. im.'!E109</f>
        <v>424.6</v>
      </c>
      <c r="E40" s="158">
        <f>'B.pr. i prim. za nef. im.'!F109</f>
        <v>424.6</v>
      </c>
      <c r="F40" s="341" t="e">
        <f t="shared" si="2"/>
        <v>#DIV/0!</v>
      </c>
    </row>
    <row r="41" spans="1:6" ht="29.25" customHeight="1">
      <c r="A41" s="273">
        <v>816000</v>
      </c>
      <c r="B41" s="80" t="s">
        <v>250</v>
      </c>
      <c r="C41" s="158">
        <f>'B.pr. i prim. za nef. im.'!D111</f>
        <v>38000</v>
      </c>
      <c r="D41" s="158">
        <f>'B.pr. i prim. za nef. im.'!E111</f>
        <v>0</v>
      </c>
      <c r="E41" s="158">
        <f>'B.pr. i prim. za nef. im.'!F111</f>
        <v>38000</v>
      </c>
      <c r="F41" s="341">
        <f t="shared" si="2"/>
        <v>100</v>
      </c>
    </row>
    <row r="42" spans="1:6" ht="16.5" customHeight="1">
      <c r="A42" s="307">
        <v>510000</v>
      </c>
      <c r="B42" s="272" t="s">
        <v>251</v>
      </c>
      <c r="C42" s="68">
        <f>SUM(C43:C45)</f>
        <v>7704700</v>
      </c>
      <c r="D42" s="68">
        <f>SUM(D43:D45)</f>
        <v>1289620</v>
      </c>
      <c r="E42" s="68">
        <f>SUM(E43:E45)</f>
        <v>8994320</v>
      </c>
      <c r="F42" s="69">
        <f t="shared" si="2"/>
        <v>116.73809492906928</v>
      </c>
    </row>
    <row r="43" spans="1:6" ht="12.75">
      <c r="A43" s="273">
        <v>511000</v>
      </c>
      <c r="B43" s="80" t="s">
        <v>137</v>
      </c>
      <c r="C43" s="158">
        <f>'B.rash. i izdaci za nef. im.'!C45</f>
        <v>7486700</v>
      </c>
      <c r="D43" s="158">
        <f>'B.rash. i izdaci za nef. im.'!D45</f>
        <v>1286203</v>
      </c>
      <c r="E43" s="158">
        <f>'B.rash. i izdaci za nef. im.'!E45</f>
        <v>8772903</v>
      </c>
      <c r="F43" s="341">
        <f t="shared" si="2"/>
        <v>117.17983891434143</v>
      </c>
    </row>
    <row r="44" spans="1:6" ht="12.75">
      <c r="A44" s="312">
        <v>513000</v>
      </c>
      <c r="B44" s="208" t="s">
        <v>164</v>
      </c>
      <c r="C44" s="158">
        <f>'B.rash. i izdaci za nef. im.'!C51</f>
        <v>150000</v>
      </c>
      <c r="D44" s="158">
        <f>'B.rash. i izdaci za nef. im.'!D51</f>
        <v>0</v>
      </c>
      <c r="E44" s="158">
        <f>'B.rash. i izdaci za nef. im.'!E51</f>
        <v>150000</v>
      </c>
      <c r="F44" s="341">
        <f t="shared" si="2"/>
        <v>100</v>
      </c>
    </row>
    <row r="45" spans="1:6" ht="12.75">
      <c r="A45" s="312">
        <v>516000</v>
      </c>
      <c r="B45" s="98" t="s">
        <v>296</v>
      </c>
      <c r="C45" s="158">
        <f>'B.rash. i izdaci za nef. im.'!C54</f>
        <v>68000</v>
      </c>
      <c r="D45" s="158">
        <f>'B.rash. i izdaci za nef. im.'!D54</f>
        <v>3417</v>
      </c>
      <c r="E45" s="158">
        <f>'B.rash. i izdaci za nef. im.'!E54</f>
        <v>71417</v>
      </c>
      <c r="F45" s="341">
        <f t="shared" si="2"/>
        <v>105.02499999999999</v>
      </c>
    </row>
    <row r="46" spans="1:6" ht="18.75" customHeight="1">
      <c r="A46" s="312"/>
      <c r="B46" s="52" t="s">
        <v>252</v>
      </c>
      <c r="C46" s="54">
        <f>C36+C37</f>
        <v>-4187710</v>
      </c>
      <c r="D46" s="54">
        <f>D36+D37</f>
        <v>228169.6700000004</v>
      </c>
      <c r="E46" s="54">
        <f>E36+E37</f>
        <v>-3959540.330000004</v>
      </c>
      <c r="F46" s="55">
        <f t="shared" si="2"/>
        <v>94.55144530065367</v>
      </c>
    </row>
    <row r="47" spans="1:6" ht="15.75" customHeight="1">
      <c r="A47" s="312"/>
      <c r="B47" s="58" t="s">
        <v>313</v>
      </c>
      <c r="C47" s="61">
        <f>C48+C53+C59+C66</f>
        <v>4187710</v>
      </c>
      <c r="D47" s="61">
        <f>D48+D53+D59+D66</f>
        <v>-228169.66999999998</v>
      </c>
      <c r="E47" s="61">
        <f>E48+E53+E59+E66</f>
        <v>3959540.33</v>
      </c>
      <c r="F47" s="62" t="s">
        <v>269</v>
      </c>
    </row>
    <row r="48" spans="1:6" ht="17.25" customHeight="1">
      <c r="A48" s="312"/>
      <c r="B48" s="58" t="s">
        <v>253</v>
      </c>
      <c r="C48" s="61">
        <f>C49-C51</f>
        <v>37000</v>
      </c>
      <c r="D48" s="61">
        <f>D49-D51</f>
        <v>-37000</v>
      </c>
      <c r="E48" s="61">
        <f>E49-E51</f>
        <v>0</v>
      </c>
      <c r="F48" s="62">
        <f aca="true" t="shared" si="3" ref="F48:F58">E48/C48*100</f>
        <v>0</v>
      </c>
    </row>
    <row r="49" spans="1:6" ht="15" customHeight="1">
      <c r="A49" s="307">
        <v>910000</v>
      </c>
      <c r="B49" s="272" t="s">
        <v>254</v>
      </c>
      <c r="C49" s="68">
        <f>SUM(C50)</f>
        <v>37000</v>
      </c>
      <c r="D49" s="68">
        <f>SUM(D50)</f>
        <v>-37000</v>
      </c>
      <c r="E49" s="68">
        <f>SUM(E50)</f>
        <v>0</v>
      </c>
      <c r="F49" s="69">
        <f t="shared" si="3"/>
        <v>0</v>
      </c>
    </row>
    <row r="50" spans="1:6" ht="14.25" customHeight="1">
      <c r="A50" s="273">
        <v>911000</v>
      </c>
      <c r="B50" s="171" t="s">
        <v>255</v>
      </c>
      <c r="C50" s="74">
        <f>Finansiranje!C7</f>
        <v>37000</v>
      </c>
      <c r="D50" s="74">
        <f>Finansiranje!D7</f>
        <v>-37000</v>
      </c>
      <c r="E50" s="74">
        <f>Finansiranje!E7</f>
        <v>0</v>
      </c>
      <c r="F50" s="87">
        <f t="shared" si="3"/>
        <v>0</v>
      </c>
    </row>
    <row r="51" spans="1:6" ht="14.25" customHeight="1">
      <c r="A51" s="307">
        <v>610000</v>
      </c>
      <c r="B51" s="272" t="s">
        <v>256</v>
      </c>
      <c r="C51" s="68">
        <f>SUM(C52)</f>
        <v>0</v>
      </c>
      <c r="D51" s="68">
        <f>SUM(D52)</f>
        <v>0</v>
      </c>
      <c r="E51" s="68">
        <f>SUM(E52)</f>
        <v>0</v>
      </c>
      <c r="F51" s="69" t="e">
        <f t="shared" si="3"/>
        <v>#DIV/0!</v>
      </c>
    </row>
    <row r="52" spans="1:6" ht="14.25" customHeight="1">
      <c r="A52" s="273">
        <v>611000</v>
      </c>
      <c r="B52" s="171" t="s">
        <v>257</v>
      </c>
      <c r="C52" s="74">
        <f>Finansiranje!C9</f>
        <v>0</v>
      </c>
      <c r="D52" s="74">
        <f>Finansiranje!D9</f>
        <v>0</v>
      </c>
      <c r="E52" s="74">
        <f>Finansiranje!E9</f>
        <v>0</v>
      </c>
      <c r="F52" s="87" t="e">
        <f t="shared" si="3"/>
        <v>#DIV/0!</v>
      </c>
    </row>
    <row r="53" spans="1:6" ht="14.25" customHeight="1">
      <c r="A53" s="273"/>
      <c r="B53" s="58" t="s">
        <v>258</v>
      </c>
      <c r="C53" s="61">
        <f>C54-C56</f>
        <v>3878000</v>
      </c>
      <c r="D53" s="61">
        <f>D54-D56</f>
        <v>17000</v>
      </c>
      <c r="E53" s="61">
        <f>E54-E56</f>
        <v>3895000</v>
      </c>
      <c r="F53" s="62">
        <f t="shared" si="3"/>
        <v>100.43837029396596</v>
      </c>
    </row>
    <row r="54" spans="1:6" ht="15" customHeight="1">
      <c r="A54" s="307">
        <v>920000</v>
      </c>
      <c r="B54" s="272" t="s">
        <v>261</v>
      </c>
      <c r="C54" s="68">
        <f>SUM(C55)</f>
        <v>5000000</v>
      </c>
      <c r="D54" s="68">
        <f>SUM(D55)</f>
        <v>0</v>
      </c>
      <c r="E54" s="68">
        <f>SUM(E55)</f>
        <v>5000000</v>
      </c>
      <c r="F54" s="69">
        <f t="shared" si="3"/>
        <v>100</v>
      </c>
    </row>
    <row r="55" spans="1:6" ht="14.25" customHeight="1">
      <c r="A55" s="273">
        <v>921000</v>
      </c>
      <c r="B55" s="80" t="s">
        <v>398</v>
      </c>
      <c r="C55" s="99">
        <f>Finansiranje!C12</f>
        <v>5000000</v>
      </c>
      <c r="D55" s="99">
        <f>Finansiranje!D12</f>
        <v>0</v>
      </c>
      <c r="E55" s="99">
        <f>Finansiranje!E12</f>
        <v>5000000</v>
      </c>
      <c r="F55" s="341">
        <f t="shared" si="3"/>
        <v>100</v>
      </c>
    </row>
    <row r="56" spans="1:6" ht="14.25" customHeight="1">
      <c r="A56" s="307">
        <v>620000</v>
      </c>
      <c r="B56" s="272" t="s">
        <v>259</v>
      </c>
      <c r="C56" s="67">
        <f>SUM(C57:C58)</f>
        <v>1122000</v>
      </c>
      <c r="D56" s="67">
        <f>SUM(D57:D58)</f>
        <v>-17000</v>
      </c>
      <c r="E56" s="67">
        <f>SUM(E57:E58)</f>
        <v>1105000</v>
      </c>
      <c r="F56" s="69">
        <f t="shared" si="3"/>
        <v>98.48484848484848</v>
      </c>
    </row>
    <row r="57" spans="1:6" ht="15.75" customHeight="1">
      <c r="A57" s="273">
        <v>621000</v>
      </c>
      <c r="B57" s="80" t="s">
        <v>399</v>
      </c>
      <c r="C57" s="99">
        <f>Finansiranje!C15</f>
        <v>925000</v>
      </c>
      <c r="D57" s="99">
        <f>Finansiranje!D15</f>
        <v>0</v>
      </c>
      <c r="E57" s="99">
        <f>Finansiranje!E15</f>
        <v>925000</v>
      </c>
      <c r="F57" s="341">
        <f t="shared" si="3"/>
        <v>100</v>
      </c>
    </row>
    <row r="58" spans="1:6" ht="25.5">
      <c r="A58" s="273">
        <v>628000</v>
      </c>
      <c r="B58" s="80" t="s">
        <v>394</v>
      </c>
      <c r="C58" s="99">
        <f>Finansiranje!C18</f>
        <v>197000</v>
      </c>
      <c r="D58" s="99">
        <f>Finansiranje!D18</f>
        <v>-17000</v>
      </c>
      <c r="E58" s="99">
        <f>Finansiranje!E18</f>
        <v>180000</v>
      </c>
      <c r="F58" s="341">
        <f t="shared" si="3"/>
        <v>91.37055837563452</v>
      </c>
    </row>
    <row r="59" spans="1:6" ht="14.25" customHeight="1">
      <c r="A59" s="273"/>
      <c r="B59" s="58" t="s">
        <v>314</v>
      </c>
      <c r="C59" s="61">
        <f>C60-C63</f>
        <v>88710</v>
      </c>
      <c r="D59" s="61">
        <f>D60-D63</f>
        <v>-249189.66999999998</v>
      </c>
      <c r="E59" s="61">
        <f>E60-E63</f>
        <v>-160479.66999999998</v>
      </c>
      <c r="F59" s="62" t="s">
        <v>269</v>
      </c>
    </row>
    <row r="60" spans="1:6" ht="14.25" customHeight="1">
      <c r="A60" s="307">
        <v>930000</v>
      </c>
      <c r="B60" s="272" t="s">
        <v>315</v>
      </c>
      <c r="C60" s="68">
        <f>SUM(C61:C62)</f>
        <v>357700</v>
      </c>
      <c r="D60" s="68">
        <f>SUM(D61:D62)</f>
        <v>82210.33</v>
      </c>
      <c r="E60" s="68">
        <f>SUM(E61:E62)</f>
        <v>439910.33</v>
      </c>
      <c r="F60" s="69">
        <f aca="true" t="shared" si="4" ref="F60:F66">E60/C60*100</f>
        <v>122.98303885937938</v>
      </c>
    </row>
    <row r="61" spans="1:6" ht="14.25" customHeight="1">
      <c r="A61" s="273">
        <v>931000</v>
      </c>
      <c r="B61" s="80" t="s">
        <v>316</v>
      </c>
      <c r="C61" s="74">
        <f>Finansiranje!C22</f>
        <v>28400</v>
      </c>
      <c r="D61" s="74">
        <f>Finansiranje!D22</f>
        <v>82210.33</v>
      </c>
      <c r="E61" s="74">
        <f>Finansiranje!E22</f>
        <v>110610.33</v>
      </c>
      <c r="F61" s="341">
        <f t="shared" si="4"/>
        <v>389.47299295774644</v>
      </c>
    </row>
    <row r="62" spans="1:6" ht="12.75">
      <c r="A62" s="273">
        <v>938000</v>
      </c>
      <c r="B62" s="80" t="s">
        <v>360</v>
      </c>
      <c r="C62" s="158">
        <f>Finansiranje!C25</f>
        <v>329300</v>
      </c>
      <c r="D62" s="158">
        <f>Finansiranje!D25</f>
        <v>0</v>
      </c>
      <c r="E62" s="158">
        <f>Finansiranje!E25</f>
        <v>329300</v>
      </c>
      <c r="F62" s="341">
        <f t="shared" si="4"/>
        <v>100</v>
      </c>
    </row>
    <row r="63" spans="1:6" ht="14.25" customHeight="1">
      <c r="A63" s="307">
        <v>630000</v>
      </c>
      <c r="B63" s="272" t="s">
        <v>317</v>
      </c>
      <c r="C63" s="67">
        <f>SUM(C64:C65)</f>
        <v>268990</v>
      </c>
      <c r="D63" s="67">
        <f>SUM(D64:D65)</f>
        <v>331400</v>
      </c>
      <c r="E63" s="67">
        <f>SUM(E64:E65)</f>
        <v>600390</v>
      </c>
      <c r="F63" s="69">
        <f t="shared" si="4"/>
        <v>223.20160600765826</v>
      </c>
    </row>
    <row r="64" spans="1:6" ht="14.25" customHeight="1">
      <c r="A64" s="273">
        <v>631000</v>
      </c>
      <c r="B64" s="80" t="s">
        <v>318</v>
      </c>
      <c r="C64" s="99">
        <f>Finansiranje!C29</f>
        <v>43600</v>
      </c>
      <c r="D64" s="99">
        <f>Finansiranje!D29</f>
        <v>296900</v>
      </c>
      <c r="E64" s="99">
        <f>Finansiranje!E29</f>
        <v>340500</v>
      </c>
      <c r="F64" s="341">
        <f t="shared" si="4"/>
        <v>780.9633027522935</v>
      </c>
    </row>
    <row r="65" spans="1:6" ht="14.25" customHeight="1">
      <c r="A65" s="273">
        <v>638000</v>
      </c>
      <c r="B65" s="80" t="s">
        <v>323</v>
      </c>
      <c r="C65" s="99">
        <f>Finansiranje!C34</f>
        <v>225390</v>
      </c>
      <c r="D65" s="99">
        <f>Finansiranje!D34</f>
        <v>34500</v>
      </c>
      <c r="E65" s="99">
        <f>Finansiranje!E34</f>
        <v>259890</v>
      </c>
      <c r="F65" s="341">
        <f t="shared" si="4"/>
        <v>115.30680154399042</v>
      </c>
    </row>
    <row r="66" spans="1:6" ht="21.75" customHeight="1">
      <c r="A66" s="273"/>
      <c r="B66" s="103" t="s">
        <v>422</v>
      </c>
      <c r="C66" s="61">
        <f>Finansiranje!C37</f>
        <v>184000</v>
      </c>
      <c r="D66" s="61">
        <f>Finansiranje!D37</f>
        <v>41020</v>
      </c>
      <c r="E66" s="61">
        <f>Finansiranje!E37</f>
        <v>225020</v>
      </c>
      <c r="F66" s="342">
        <f t="shared" si="4"/>
        <v>122.29347826086956</v>
      </c>
    </row>
    <row r="67" spans="1:6" ht="20.25" customHeight="1" thickBot="1">
      <c r="A67" s="303"/>
      <c r="B67" s="107" t="s">
        <v>319</v>
      </c>
      <c r="C67" s="108">
        <f>C46+C47</f>
        <v>0</v>
      </c>
      <c r="D67" s="108">
        <f>D46+D47</f>
        <v>4.0745362639427185E-10</v>
      </c>
      <c r="E67" s="108">
        <f>E46+E47</f>
        <v>-3.725290298461914E-09</v>
      </c>
      <c r="F67" s="110" t="s">
        <v>269</v>
      </c>
    </row>
    <row r="68" spans="1:6" ht="20.25" customHeight="1" thickTop="1">
      <c r="A68" s="123"/>
      <c r="B68" s="124"/>
      <c r="C68" s="125"/>
      <c r="D68" s="125"/>
      <c r="E68" s="125"/>
      <c r="F68" s="126"/>
    </row>
    <row r="69" spans="1:6" ht="12" customHeight="1">
      <c r="A69" s="25"/>
      <c r="B69" s="23"/>
      <c r="C69" s="26"/>
      <c r="D69" s="26"/>
      <c r="E69" s="26"/>
      <c r="F69" s="26"/>
    </row>
    <row r="70" spans="1:6" ht="6" customHeight="1" hidden="1">
      <c r="A70" s="3"/>
      <c r="B70" s="446" t="s">
        <v>689</v>
      </c>
      <c r="C70" s="446"/>
      <c r="D70" s="446"/>
      <c r="E70" s="446">
        <f>E7+E8+E9+E10+E11+E12+E14+E15+E16+E17+E18+E20+E22+E39+E40+E41+E50+E55+E61+E62+E66</f>
        <v>30460000</v>
      </c>
      <c r="F70" s="23"/>
    </row>
    <row r="71" spans="1:6" ht="14.25" customHeight="1" hidden="1">
      <c r="A71" s="3"/>
      <c r="B71" s="446" t="s">
        <v>690</v>
      </c>
      <c r="C71" s="446"/>
      <c r="D71" s="446"/>
      <c r="E71" s="446">
        <f>E25+E26+E27+E28+E29+E30+E31+E32+E34+E35+E43+E44+E45+E52+E57+E58+E64+E65</f>
        <v>30460000.000000004</v>
      </c>
      <c r="F71" s="23"/>
    </row>
    <row r="72" spans="1:8" ht="16.5" customHeight="1">
      <c r="A72" s="3"/>
      <c r="B72" s="42"/>
      <c r="C72" s="23"/>
      <c r="D72" s="23"/>
      <c r="E72" s="23"/>
      <c r="F72" s="23"/>
      <c r="H72" s="1"/>
    </row>
    <row r="73" spans="1:6" ht="16.5" customHeight="1">
      <c r="A73" s="4"/>
      <c r="B73" s="454"/>
      <c r="C73" s="454"/>
      <c r="D73" s="454"/>
      <c r="E73" s="454"/>
      <c r="F73" s="26"/>
    </row>
    <row r="74" spans="1:2" ht="15.75" customHeight="1">
      <c r="A74" s="26"/>
      <c r="B74" s="26"/>
    </row>
    <row r="75" spans="1:5" ht="12.75">
      <c r="A75" s="26"/>
      <c r="B75" s="26"/>
      <c r="C75" s="26"/>
      <c r="D75" s="26"/>
      <c r="E75" s="26"/>
    </row>
    <row r="76" spans="1:6" ht="17.25" customHeight="1">
      <c r="A76" s="26"/>
      <c r="B76" s="26"/>
      <c r="C76" s="26"/>
      <c r="D76" s="26"/>
      <c r="E76" s="26"/>
      <c r="F76" s="26"/>
    </row>
    <row r="77" spans="1:6" ht="12.75">
      <c r="A77" s="26"/>
      <c r="B77" s="26"/>
      <c r="C77" s="26"/>
      <c r="D77" s="26"/>
      <c r="E77" s="26"/>
      <c r="F77" s="26"/>
    </row>
    <row r="78" spans="1:6" ht="12.75">
      <c r="A78" s="26"/>
      <c r="B78" s="26"/>
      <c r="C78" s="27"/>
      <c r="D78" s="27"/>
      <c r="E78" s="27"/>
      <c r="F78" s="27"/>
    </row>
    <row r="79" spans="1:2" ht="12.75">
      <c r="A79" s="26"/>
      <c r="B79" s="26"/>
    </row>
    <row r="80" spans="1:2" ht="23.25" customHeight="1">
      <c r="A80" s="26"/>
      <c r="B80" s="26"/>
    </row>
    <row r="81" spans="1:2" ht="16.5" customHeight="1">
      <c r="A81" s="26"/>
      <c r="B81" s="26"/>
    </row>
    <row r="82" spans="1:2" ht="12.75">
      <c r="A82" s="26"/>
      <c r="B82" s="26"/>
    </row>
    <row r="83" spans="1:2" ht="12.75">
      <c r="A83" s="26"/>
      <c r="B83" s="26"/>
    </row>
    <row r="84" spans="1:2" ht="15" customHeight="1">
      <c r="A84" s="26"/>
      <c r="B84" s="26"/>
    </row>
    <row r="85" spans="1:2" ht="12.75">
      <c r="A85" s="26"/>
      <c r="B85" s="26"/>
    </row>
    <row r="86" spans="1:2" ht="26.25" customHeight="1">
      <c r="A86" s="26"/>
      <c r="B86" s="26"/>
    </row>
    <row r="87" spans="1:2" ht="12.75">
      <c r="A87" s="26"/>
      <c r="B87" s="26"/>
    </row>
    <row r="88" spans="1:2" ht="12.75">
      <c r="A88" s="26"/>
      <c r="B88" s="26"/>
    </row>
    <row r="89" spans="1:2" ht="12.75">
      <c r="A89" s="26"/>
      <c r="B89" s="26"/>
    </row>
    <row r="90" spans="1:2" ht="12.75">
      <c r="A90" s="26"/>
      <c r="B90" s="26"/>
    </row>
    <row r="91" spans="1:2" ht="12.75">
      <c r="A91" s="26"/>
      <c r="B91" s="26"/>
    </row>
    <row r="92" spans="1:2" ht="12.75">
      <c r="A92" s="26"/>
      <c r="B92" s="26"/>
    </row>
    <row r="93" spans="1:2" ht="15.75" customHeight="1">
      <c r="A93" s="26"/>
      <c r="B93" s="26"/>
    </row>
    <row r="94" spans="1:7" ht="12.75">
      <c r="A94" s="26"/>
      <c r="B94" s="26"/>
      <c r="G94" s="2"/>
    </row>
    <row r="95" spans="1:2" ht="12.75">
      <c r="A95" s="26"/>
      <c r="B95" s="26"/>
    </row>
    <row r="96" spans="1:2" ht="12.75">
      <c r="A96" s="26"/>
      <c r="B96" s="26"/>
    </row>
    <row r="97" spans="1:2" ht="12.75" customHeight="1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7" s="24" customFormat="1" ht="12.75">
      <c r="A110" s="26"/>
      <c r="B110" s="26"/>
      <c r="G110"/>
    </row>
    <row r="111" spans="1:7" s="24" customFormat="1" ht="12.75">
      <c r="A111" s="26"/>
      <c r="B111" s="26"/>
      <c r="G111"/>
    </row>
    <row r="112" spans="1:7" s="24" customFormat="1" ht="12.75">
      <c r="A112" s="26"/>
      <c r="B112" s="26"/>
      <c r="G112"/>
    </row>
    <row r="113" spans="1:7" s="24" customFormat="1" ht="12.75">
      <c r="A113" s="26"/>
      <c r="B113" s="26"/>
      <c r="G113"/>
    </row>
    <row r="114" spans="1:7" s="24" customFormat="1" ht="12.75">
      <c r="A114" s="26"/>
      <c r="B114" s="26"/>
      <c r="G114"/>
    </row>
    <row r="115" spans="1:7" s="24" customFormat="1" ht="12.75">
      <c r="A115" s="26"/>
      <c r="B115" s="26"/>
      <c r="G115"/>
    </row>
    <row r="116" spans="1:7" s="24" customFormat="1" ht="12.75">
      <c r="A116" s="26"/>
      <c r="B116" s="26"/>
      <c r="G116"/>
    </row>
    <row r="117" spans="1:7" s="24" customFormat="1" ht="12.75">
      <c r="A117" s="26"/>
      <c r="B117" s="26"/>
      <c r="G117"/>
    </row>
    <row r="118" spans="1:7" s="24" customFormat="1" ht="12.75">
      <c r="A118" s="26"/>
      <c r="B118" s="26"/>
      <c r="G118"/>
    </row>
    <row r="119" spans="1:7" s="24" customFormat="1" ht="12.75">
      <c r="A119" s="26"/>
      <c r="B119" s="26"/>
      <c r="G119"/>
    </row>
    <row r="120" spans="1:7" s="24" customFormat="1" ht="12.75">
      <c r="A120" s="26"/>
      <c r="B120" s="26"/>
      <c r="G120"/>
    </row>
    <row r="121" spans="1:7" s="24" customFormat="1" ht="12.75">
      <c r="A121" s="26"/>
      <c r="B121" s="26"/>
      <c r="G121"/>
    </row>
    <row r="122" spans="1:7" s="24" customFormat="1" ht="12.75">
      <c r="A122" s="26"/>
      <c r="B122" s="26"/>
      <c r="G122"/>
    </row>
    <row r="123" spans="1:7" s="24" customFormat="1" ht="12.75">
      <c r="A123" s="26"/>
      <c r="B123" s="26"/>
      <c r="G123"/>
    </row>
    <row r="124" spans="1:7" s="24" customFormat="1" ht="12.75">
      <c r="A124" s="26"/>
      <c r="B124" s="26"/>
      <c r="G124"/>
    </row>
    <row r="125" spans="1:7" s="24" customFormat="1" ht="12.75">
      <c r="A125" s="26"/>
      <c r="B125" s="26"/>
      <c r="G125"/>
    </row>
    <row r="126" spans="1:7" s="24" customFormat="1" ht="12.75">
      <c r="A126" s="26"/>
      <c r="B126" s="26"/>
      <c r="G126"/>
    </row>
    <row r="127" spans="1:7" s="24" customFormat="1" ht="12.75">
      <c r="A127" s="26"/>
      <c r="B127" s="26"/>
      <c r="G127"/>
    </row>
    <row r="128" spans="1:7" s="24" customFormat="1" ht="12.75">
      <c r="A128" s="26"/>
      <c r="B128" s="26"/>
      <c r="G128"/>
    </row>
    <row r="129" spans="1:7" s="24" customFormat="1" ht="12.75">
      <c r="A129" s="26"/>
      <c r="B129" s="26"/>
      <c r="G129"/>
    </row>
    <row r="130" spans="1:7" s="24" customFormat="1" ht="12.75">
      <c r="A130" s="26"/>
      <c r="B130" s="26"/>
      <c r="G130"/>
    </row>
    <row r="131" spans="1:7" s="24" customFormat="1" ht="12.75">
      <c r="A131" s="26"/>
      <c r="B131" s="26"/>
      <c r="G131"/>
    </row>
    <row r="132" spans="1:7" s="24" customFormat="1" ht="12.75">
      <c r="A132" s="26"/>
      <c r="B132" s="26"/>
      <c r="G132"/>
    </row>
    <row r="133" spans="1:7" s="24" customFormat="1" ht="12.75">
      <c r="A133" s="26"/>
      <c r="B133" s="26"/>
      <c r="G133"/>
    </row>
    <row r="134" spans="1:7" s="24" customFormat="1" ht="12.75">
      <c r="A134" s="26"/>
      <c r="B134" s="26"/>
      <c r="G134"/>
    </row>
    <row r="135" spans="1:7" s="24" customFormat="1" ht="12.75">
      <c r="A135" s="26"/>
      <c r="B135" s="26"/>
      <c r="G135"/>
    </row>
    <row r="136" spans="1:7" s="24" customFormat="1" ht="12.75">
      <c r="A136" s="26"/>
      <c r="B136" s="26"/>
      <c r="G136"/>
    </row>
    <row r="137" spans="1:7" s="24" customFormat="1" ht="12.75">
      <c r="A137" s="26"/>
      <c r="B137" s="26"/>
      <c r="G137"/>
    </row>
    <row r="138" spans="1:7" s="24" customFormat="1" ht="12.75">
      <c r="A138" s="26"/>
      <c r="B138" s="26"/>
      <c r="G138"/>
    </row>
    <row r="139" spans="1:7" s="24" customFormat="1" ht="12.75">
      <c r="A139" s="26"/>
      <c r="B139" s="26"/>
      <c r="G139"/>
    </row>
    <row r="140" spans="1:7" s="24" customFormat="1" ht="12.75">
      <c r="A140" s="26"/>
      <c r="B140" s="26"/>
      <c r="G140"/>
    </row>
    <row r="141" spans="1:7" s="24" customFormat="1" ht="12.75">
      <c r="A141" s="26"/>
      <c r="B141" s="26"/>
      <c r="G141"/>
    </row>
    <row r="142" spans="1:6" ht="12.75">
      <c r="A142" s="26"/>
      <c r="B142" s="3"/>
      <c r="C142" s="26"/>
      <c r="D142" s="26"/>
      <c r="E142" s="26"/>
      <c r="F142" s="26"/>
    </row>
    <row r="143" spans="1:6" ht="12.75">
      <c r="A143" s="4"/>
      <c r="B143" s="3"/>
      <c r="C143" s="26"/>
      <c r="D143" s="26"/>
      <c r="E143" s="26"/>
      <c r="F143" s="26"/>
    </row>
    <row r="144" spans="1:6" ht="12.75">
      <c r="A144" s="4"/>
      <c r="B144" s="3"/>
      <c r="C144" s="26"/>
      <c r="D144" s="26"/>
      <c r="E144" s="26"/>
      <c r="F144" s="26"/>
    </row>
    <row r="145" spans="1:6" ht="12.75">
      <c r="A145" s="4"/>
      <c r="B145" s="3"/>
      <c r="C145" s="26"/>
      <c r="D145" s="26"/>
      <c r="E145" s="26"/>
      <c r="F145" s="26"/>
    </row>
    <row r="146" spans="1:6" ht="12.75">
      <c r="A146" s="4"/>
      <c r="B146" s="3"/>
      <c r="C146" s="26"/>
      <c r="D146" s="26"/>
      <c r="E146" s="26"/>
      <c r="F146" s="26"/>
    </row>
    <row r="147" spans="1:6" ht="12.75">
      <c r="A147" s="4"/>
      <c r="B147" s="3"/>
      <c r="C147" s="26"/>
      <c r="D147" s="26"/>
      <c r="E147" s="26"/>
      <c r="F147" s="26"/>
    </row>
    <row r="148" spans="1:6" ht="12.75">
      <c r="A148" s="4"/>
      <c r="B148" s="3"/>
      <c r="C148" s="26"/>
      <c r="D148" s="26"/>
      <c r="E148" s="26"/>
      <c r="F148" s="26"/>
    </row>
    <row r="149" spans="1:6" ht="12.75">
      <c r="A149" s="4"/>
      <c r="B149" s="3"/>
      <c r="C149" s="26"/>
      <c r="D149" s="26"/>
      <c r="E149" s="26"/>
      <c r="F149" s="26"/>
    </row>
    <row r="150" spans="1:6" ht="12.75">
      <c r="A150" s="4"/>
      <c r="B150" s="3"/>
      <c r="C150" s="26"/>
      <c r="D150" s="26"/>
      <c r="E150" s="26"/>
      <c r="F150" s="26"/>
    </row>
    <row r="151" spans="1:6" ht="12.75">
      <c r="A151" s="4"/>
      <c r="B151" s="3"/>
      <c r="C151" s="26"/>
      <c r="D151" s="26"/>
      <c r="E151" s="26"/>
      <c r="F151" s="26"/>
    </row>
    <row r="152" spans="1:6" ht="12.75">
      <c r="A152" s="4"/>
      <c r="B152" s="3"/>
      <c r="C152" s="26"/>
      <c r="D152" s="26"/>
      <c r="E152" s="26"/>
      <c r="F152" s="26"/>
    </row>
    <row r="153" spans="1:6" ht="12.75">
      <c r="A153" s="4"/>
      <c r="B153" s="3"/>
      <c r="C153" s="26"/>
      <c r="D153" s="26"/>
      <c r="E153" s="26"/>
      <c r="F153" s="26"/>
    </row>
    <row r="154" spans="1:7" s="24" customFormat="1" ht="12.75">
      <c r="A154" s="4"/>
      <c r="B154" s="3"/>
      <c r="C154" s="26"/>
      <c r="D154" s="26"/>
      <c r="E154" s="26"/>
      <c r="F154" s="26"/>
      <c r="G154"/>
    </row>
    <row r="155" spans="1:7" s="24" customFormat="1" ht="12.75">
      <c r="A155" s="4"/>
      <c r="B155" s="3"/>
      <c r="C155" s="26"/>
      <c r="D155" s="26"/>
      <c r="E155" s="26"/>
      <c r="F155" s="26"/>
      <c r="G155"/>
    </row>
    <row r="156" spans="1:7" s="24" customFormat="1" ht="12.75">
      <c r="A156" s="4"/>
      <c r="B156" s="3"/>
      <c r="C156" s="26"/>
      <c r="D156" s="26"/>
      <c r="E156" s="26"/>
      <c r="F156" s="26"/>
      <c r="G156"/>
    </row>
    <row r="157" spans="1:7" s="24" customFormat="1" ht="12.75">
      <c r="A157" s="4"/>
      <c r="B157" s="3"/>
      <c r="C157" s="26"/>
      <c r="D157" s="26"/>
      <c r="E157" s="26"/>
      <c r="F157" s="26"/>
      <c r="G157"/>
    </row>
    <row r="158" spans="1:7" s="24" customFormat="1" ht="12.75">
      <c r="A158" s="4"/>
      <c r="B158" s="3"/>
      <c r="C158" s="26"/>
      <c r="D158" s="26"/>
      <c r="E158" s="26"/>
      <c r="F158" s="26"/>
      <c r="G158"/>
    </row>
    <row r="159" spans="1:7" s="24" customFormat="1" ht="12.75">
      <c r="A159" s="4"/>
      <c r="B159" s="3"/>
      <c r="C159" s="26"/>
      <c r="D159" s="26"/>
      <c r="E159" s="26"/>
      <c r="F159" s="26"/>
      <c r="G159"/>
    </row>
    <row r="160" spans="1:7" s="24" customFormat="1" ht="12.75">
      <c r="A160" s="4"/>
      <c r="B160" s="3"/>
      <c r="C160" s="26"/>
      <c r="D160" s="26"/>
      <c r="E160" s="26"/>
      <c r="F160" s="26"/>
      <c r="G160"/>
    </row>
    <row r="161" spans="1:7" s="24" customFormat="1" ht="12.75">
      <c r="A161" s="4"/>
      <c r="B161" s="3"/>
      <c r="C161" s="26"/>
      <c r="D161" s="26"/>
      <c r="E161" s="26"/>
      <c r="F161" s="26"/>
      <c r="G161"/>
    </row>
    <row r="162" spans="1:7" s="24" customFormat="1" ht="12.75">
      <c r="A162" s="4"/>
      <c r="B162" s="3"/>
      <c r="C162" s="26"/>
      <c r="D162" s="26"/>
      <c r="E162" s="26"/>
      <c r="F162" s="26"/>
      <c r="G162"/>
    </row>
    <row r="163" spans="1:7" s="24" customFormat="1" ht="12.75">
      <c r="A163" s="4"/>
      <c r="B163" s="3"/>
      <c r="C163" s="26"/>
      <c r="D163" s="26"/>
      <c r="E163" s="26"/>
      <c r="F163" s="26"/>
      <c r="G163"/>
    </row>
    <row r="164" spans="1:7" s="24" customFormat="1" ht="12.75">
      <c r="A164" s="4"/>
      <c r="B164" s="3"/>
      <c r="C164" s="26"/>
      <c r="D164" s="26"/>
      <c r="E164" s="26"/>
      <c r="F164" s="26"/>
      <c r="G164"/>
    </row>
    <row r="165" spans="1:7" s="24" customFormat="1" ht="12.75">
      <c r="A165" s="4"/>
      <c r="B165" s="3"/>
      <c r="C165" s="26"/>
      <c r="D165" s="26"/>
      <c r="E165" s="26"/>
      <c r="F165" s="26"/>
      <c r="G165"/>
    </row>
    <row r="166" spans="1:7" s="24" customFormat="1" ht="12.75">
      <c r="A166" s="4"/>
      <c r="B166" s="3"/>
      <c r="C166" s="26"/>
      <c r="D166" s="26"/>
      <c r="E166" s="26"/>
      <c r="F166" s="26"/>
      <c r="G166"/>
    </row>
    <row r="167" spans="1:7" s="24" customFormat="1" ht="12.75">
      <c r="A167" s="4"/>
      <c r="B167" s="3"/>
      <c r="C167" s="26"/>
      <c r="D167" s="26"/>
      <c r="E167" s="26"/>
      <c r="F167" s="26"/>
      <c r="G167"/>
    </row>
    <row r="168" spans="1:7" s="24" customFormat="1" ht="12.75">
      <c r="A168" s="4"/>
      <c r="B168"/>
      <c r="C168" s="26"/>
      <c r="D168" s="26"/>
      <c r="E168" s="26"/>
      <c r="F168" s="26"/>
      <c r="G168"/>
    </row>
  </sheetData>
  <sheetProtection/>
  <mergeCells count="7">
    <mergeCell ref="A1:F1"/>
    <mergeCell ref="A2:A3"/>
    <mergeCell ref="B2:B3"/>
    <mergeCell ref="F2:F3"/>
    <mergeCell ref="C2:C3"/>
    <mergeCell ref="D2:D3"/>
    <mergeCell ref="E2:E3"/>
  </mergeCells>
  <printOptions horizontalCentered="1"/>
  <pageMargins left="0.2755905511811024" right="0.15748031496062992" top="0.35433070866141736" bottom="0.3937007874015748" header="0.2755905511811024" footer="0.15748031496062992"/>
  <pageSetup horizontalDpi="600" verticalDpi="600" orientation="landscape" paperSize="9" scale="110" r:id="rId1"/>
  <headerFooter alignWithMargins="0">
    <oddFooter>&amp;R&amp;P</oddFooter>
  </headerFooter>
  <rowBreaks count="3" manualBreakCount="3">
    <brk id="30" max="5" man="1"/>
    <brk id="52" max="5" man="1"/>
    <brk id="73" max="4" man="1"/>
  </rowBreaks>
  <colBreaks count="1" manualBreakCount="1">
    <brk id="6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SheetLayoutView="100" zoomScalePageLayoutView="0" workbookViewId="0" topLeftCell="A1">
      <pane ySplit="3" topLeftCell="A108" activePane="bottomLeft" state="frozen"/>
      <selection pane="topLeft" activeCell="B41" sqref="B41"/>
      <selection pane="bottomLeft" activeCell="C126" sqref="C126"/>
    </sheetView>
  </sheetViews>
  <sheetFormatPr defaultColWidth="9.140625" defaultRowHeight="12.75"/>
  <cols>
    <col min="1" max="1" width="13.8515625" style="0" customWidth="1"/>
    <col min="2" max="2" width="8.140625" style="0" customWidth="1"/>
    <col min="3" max="3" width="57.7109375" style="0" customWidth="1"/>
    <col min="4" max="6" width="16.421875" style="24" customWidth="1"/>
    <col min="7" max="7" width="10.7109375" style="24" customWidth="1"/>
    <col min="8" max="8" width="10.00390625" style="24" customWidth="1"/>
    <col min="9" max="9" width="3.57421875" style="0" customWidth="1"/>
    <col min="10" max="10" width="16.00390625" style="0" customWidth="1"/>
    <col min="11" max="11" width="16.00390625" style="0" bestFit="1" customWidth="1"/>
    <col min="12" max="12" width="11.7109375" style="0" bestFit="1" customWidth="1"/>
  </cols>
  <sheetData>
    <row r="1" spans="1:11" ht="39.75" customHeight="1" thickBot="1">
      <c r="A1" s="477" t="s">
        <v>637</v>
      </c>
      <c r="B1" s="477"/>
      <c r="C1" s="477"/>
      <c r="D1" s="477"/>
      <c r="E1" s="477"/>
      <c r="F1" s="477"/>
      <c r="G1" s="477"/>
      <c r="H1" s="477"/>
      <c r="J1" s="400"/>
      <c r="K1" s="401"/>
    </row>
    <row r="2" spans="1:11" ht="18.75" customHeight="1" thickTop="1">
      <c r="A2" s="489" t="s">
        <v>57</v>
      </c>
      <c r="B2" s="491" t="s">
        <v>245</v>
      </c>
      <c r="C2" s="491" t="s">
        <v>203</v>
      </c>
      <c r="D2" s="486" t="s">
        <v>499</v>
      </c>
      <c r="E2" s="486" t="s">
        <v>633</v>
      </c>
      <c r="F2" s="486" t="s">
        <v>634</v>
      </c>
      <c r="G2" s="493" t="s">
        <v>109</v>
      </c>
      <c r="H2" s="495" t="s">
        <v>114</v>
      </c>
      <c r="I2" s="488"/>
      <c r="J2" s="400"/>
      <c r="K2" s="401"/>
    </row>
    <row r="3" spans="1:9" ht="29.25" customHeight="1">
      <c r="A3" s="490"/>
      <c r="B3" s="492"/>
      <c r="C3" s="492"/>
      <c r="D3" s="487"/>
      <c r="E3" s="487"/>
      <c r="F3" s="487"/>
      <c r="G3" s="494"/>
      <c r="H3" s="496"/>
      <c r="I3" s="488"/>
    </row>
    <row r="4" spans="1:9" s="5" customFormat="1" ht="12.75" customHeight="1">
      <c r="A4" s="111">
        <v>1</v>
      </c>
      <c r="B4" s="112">
        <v>2</v>
      </c>
      <c r="C4" s="112">
        <v>3</v>
      </c>
      <c r="D4" s="112">
        <v>4</v>
      </c>
      <c r="E4" s="112" t="s">
        <v>635</v>
      </c>
      <c r="F4" s="112">
        <v>6</v>
      </c>
      <c r="G4" s="112" t="s">
        <v>636</v>
      </c>
      <c r="H4" s="114">
        <v>8</v>
      </c>
      <c r="I4" s="121"/>
    </row>
    <row r="5" spans="1:10" ht="19.5" customHeight="1">
      <c r="A5" s="50"/>
      <c r="B5" s="51"/>
      <c r="C5" s="52" t="s">
        <v>246</v>
      </c>
      <c r="D5" s="53">
        <f>D6+D22+D84+D91</f>
        <v>21626300</v>
      </c>
      <c r="E5" s="53">
        <f>E6+E22+E84+E91</f>
        <v>2573345.0700000003</v>
      </c>
      <c r="F5" s="53">
        <f>F6+F22+F84+F91</f>
        <v>24199645.07</v>
      </c>
      <c r="G5" s="53">
        <f>F5/D5*100</f>
        <v>111.89914627097562</v>
      </c>
      <c r="H5" s="55">
        <f aca="true" t="shared" si="0" ref="H5:H36">F5/$F$113*100</f>
        <v>97.5986169511739</v>
      </c>
      <c r="I5" s="122"/>
      <c r="J5" s="1"/>
    </row>
    <row r="6" spans="1:10" ht="15" customHeight="1">
      <c r="A6" s="56">
        <v>710000</v>
      </c>
      <c r="B6" s="57"/>
      <c r="C6" s="58" t="s">
        <v>215</v>
      </c>
      <c r="D6" s="59">
        <f>D7+D9+D12+D14+D18+D20</f>
        <v>13218000</v>
      </c>
      <c r="E6" s="59">
        <f>E7+E9+E12+E14+E18+E20</f>
        <v>1924600</v>
      </c>
      <c r="F6" s="59">
        <f>F7+F9+F12+F14+F18+F20</f>
        <v>15142600</v>
      </c>
      <c r="G6" s="60">
        <f>F6/D6*100</f>
        <v>114.56044787411106</v>
      </c>
      <c r="H6" s="173">
        <f t="shared" si="0"/>
        <v>61.07101210657739</v>
      </c>
      <c r="I6" s="122"/>
      <c r="J6" s="1"/>
    </row>
    <row r="7" spans="1:10" ht="15" customHeight="1">
      <c r="A7" s="63">
        <v>711100</v>
      </c>
      <c r="B7" s="64"/>
      <c r="C7" s="65" t="s">
        <v>184</v>
      </c>
      <c r="D7" s="66">
        <f>SUM(D8)</f>
        <v>0</v>
      </c>
      <c r="E7" s="66">
        <f>SUM(E8)</f>
        <v>600</v>
      </c>
      <c r="F7" s="66">
        <f>SUM(F8)</f>
        <v>600</v>
      </c>
      <c r="G7" s="461" t="e">
        <f aca="true" t="shared" si="1" ref="G7:G70">F7/D7*100</f>
        <v>#DIV/0!</v>
      </c>
      <c r="H7" s="462">
        <f t="shared" si="0"/>
        <v>0.002419835910870421</v>
      </c>
      <c r="I7" s="122"/>
      <c r="J7" s="1"/>
    </row>
    <row r="8" spans="1:10" ht="12" customHeight="1">
      <c r="A8" s="70">
        <v>711113</v>
      </c>
      <c r="B8" s="71"/>
      <c r="C8" s="72" t="s">
        <v>216</v>
      </c>
      <c r="D8" s="73">
        <v>0</v>
      </c>
      <c r="E8" s="73">
        <f>F8-D8</f>
        <v>600</v>
      </c>
      <c r="F8" s="73">
        <v>600</v>
      </c>
      <c r="G8" s="86" t="e">
        <f t="shared" si="1"/>
        <v>#DIV/0!</v>
      </c>
      <c r="H8" s="87">
        <f t="shared" si="0"/>
        <v>0.002419835910870421</v>
      </c>
      <c r="I8" s="122"/>
      <c r="J8" s="1"/>
    </row>
    <row r="9" spans="1:10" ht="15" customHeight="1">
      <c r="A9" s="56">
        <v>713000</v>
      </c>
      <c r="B9" s="57"/>
      <c r="C9" s="76" t="s">
        <v>4</v>
      </c>
      <c r="D9" s="66">
        <f>SUM(D10:D11)</f>
        <v>765000</v>
      </c>
      <c r="E9" s="66">
        <f>SUM(E10:E11)</f>
        <v>325000</v>
      </c>
      <c r="F9" s="66">
        <f>SUM(F10:F11)</f>
        <v>1090000</v>
      </c>
      <c r="G9" s="67">
        <f t="shared" si="1"/>
        <v>142.48366013071896</v>
      </c>
      <c r="H9" s="69">
        <f t="shared" si="0"/>
        <v>4.396035238081264</v>
      </c>
      <c r="I9" s="122"/>
      <c r="J9" s="1"/>
    </row>
    <row r="10" spans="1:12" ht="14.25" customHeight="1">
      <c r="A10" s="70" t="s">
        <v>5</v>
      </c>
      <c r="B10" s="71"/>
      <c r="C10" s="77" t="s">
        <v>217</v>
      </c>
      <c r="D10" s="73">
        <v>185000</v>
      </c>
      <c r="E10" s="73">
        <f>F10-D10</f>
        <v>115000</v>
      </c>
      <c r="F10" s="73">
        <v>300000</v>
      </c>
      <c r="G10" s="127">
        <f t="shared" si="1"/>
        <v>162.16216216216216</v>
      </c>
      <c r="H10" s="341">
        <f t="shared" si="0"/>
        <v>1.2099179554352104</v>
      </c>
      <c r="I10" s="122"/>
      <c r="J10" s="1"/>
      <c r="K10" s="1"/>
      <c r="L10" s="1"/>
    </row>
    <row r="11" spans="1:10" ht="14.25" customHeight="1">
      <c r="A11" s="70" t="s">
        <v>6</v>
      </c>
      <c r="B11" s="71"/>
      <c r="C11" s="78" t="s">
        <v>7</v>
      </c>
      <c r="D11" s="73">
        <v>580000</v>
      </c>
      <c r="E11" s="73">
        <f>F11-D11</f>
        <v>210000</v>
      </c>
      <c r="F11" s="73">
        <v>790000</v>
      </c>
      <c r="G11" s="127">
        <f t="shared" si="1"/>
        <v>136.20689655172413</v>
      </c>
      <c r="H11" s="341">
        <f t="shared" si="0"/>
        <v>3.186117282646054</v>
      </c>
      <c r="I11" s="122"/>
      <c r="J11" s="1"/>
    </row>
    <row r="12" spans="1:10" ht="14.25" customHeight="1">
      <c r="A12" s="56">
        <v>714000</v>
      </c>
      <c r="B12" s="57"/>
      <c r="C12" s="76" t="s">
        <v>8</v>
      </c>
      <c r="D12" s="66">
        <f>SUM(D13:D13)</f>
        <v>250000</v>
      </c>
      <c r="E12" s="66">
        <f>SUM(E13:E13)</f>
        <v>0</v>
      </c>
      <c r="F12" s="66">
        <f>SUM(F13:F13)</f>
        <v>250000</v>
      </c>
      <c r="G12" s="67">
        <f t="shared" si="1"/>
        <v>100</v>
      </c>
      <c r="H12" s="69">
        <f t="shared" si="0"/>
        <v>1.0082649628626754</v>
      </c>
      <c r="I12" s="122"/>
      <c r="J12" s="1"/>
    </row>
    <row r="13" spans="1:10" ht="14.25" customHeight="1">
      <c r="A13" s="79" t="s">
        <v>373</v>
      </c>
      <c r="B13" s="57"/>
      <c r="C13" s="80" t="s">
        <v>339</v>
      </c>
      <c r="D13" s="73">
        <v>250000</v>
      </c>
      <c r="E13" s="73">
        <f>F13-D13</f>
        <v>0</v>
      </c>
      <c r="F13" s="73">
        <v>250000</v>
      </c>
      <c r="G13" s="127">
        <f t="shared" si="1"/>
        <v>100</v>
      </c>
      <c r="H13" s="341">
        <f t="shared" si="0"/>
        <v>1.0082649628626754</v>
      </c>
      <c r="I13" s="122"/>
      <c r="J13" s="1"/>
    </row>
    <row r="14" spans="1:10" ht="14.25" customHeight="1">
      <c r="A14" s="56">
        <v>715000</v>
      </c>
      <c r="B14" s="57"/>
      <c r="C14" s="76" t="s">
        <v>151</v>
      </c>
      <c r="D14" s="66">
        <f>SUM(D15:D17)</f>
        <v>3000</v>
      </c>
      <c r="E14" s="66">
        <f>SUM(E15:E17)</f>
        <v>-1000</v>
      </c>
      <c r="F14" s="66">
        <f>SUM(F15:F17)</f>
        <v>2000</v>
      </c>
      <c r="G14" s="67">
        <f t="shared" si="1"/>
        <v>66.66666666666666</v>
      </c>
      <c r="H14" s="69">
        <f t="shared" si="0"/>
        <v>0.008066119702901402</v>
      </c>
      <c r="I14" s="122"/>
      <c r="J14" s="1"/>
    </row>
    <row r="15" spans="1:10" ht="14.25" customHeight="1">
      <c r="A15" s="81">
        <v>715110</v>
      </c>
      <c r="B15" s="82"/>
      <c r="C15" s="77" t="s">
        <v>427</v>
      </c>
      <c r="D15" s="73">
        <v>3000</v>
      </c>
      <c r="E15" s="73">
        <f>F15-D15</f>
        <v>-1000</v>
      </c>
      <c r="F15" s="73">
        <v>2000</v>
      </c>
      <c r="G15" s="127">
        <f t="shared" si="1"/>
        <v>66.66666666666666</v>
      </c>
      <c r="H15" s="341">
        <f t="shared" si="0"/>
        <v>0.008066119702901402</v>
      </c>
      <c r="I15" s="122"/>
      <c r="J15" s="1"/>
    </row>
    <row r="16" spans="1:10" ht="14.25" customHeight="1" hidden="1">
      <c r="A16" s="70">
        <v>715210</v>
      </c>
      <c r="B16" s="71"/>
      <c r="C16" s="78" t="s">
        <v>428</v>
      </c>
      <c r="D16" s="73">
        <v>0</v>
      </c>
      <c r="E16" s="73">
        <v>0</v>
      </c>
      <c r="F16" s="73">
        <v>0</v>
      </c>
      <c r="G16" s="60" t="e">
        <f t="shared" si="1"/>
        <v>#DIV/0!</v>
      </c>
      <c r="H16" s="55">
        <f t="shared" si="0"/>
        <v>0</v>
      </c>
      <c r="I16" s="122"/>
      <c r="J16" s="1"/>
    </row>
    <row r="17" spans="1:10" ht="14.25" customHeight="1" hidden="1">
      <c r="A17" s="70">
        <v>715310</v>
      </c>
      <c r="B17" s="71"/>
      <c r="C17" s="78" t="s">
        <v>426</v>
      </c>
      <c r="D17" s="73">
        <v>0</v>
      </c>
      <c r="E17" s="73">
        <v>0</v>
      </c>
      <c r="F17" s="73">
        <v>0</v>
      </c>
      <c r="G17" s="60" t="e">
        <f t="shared" si="1"/>
        <v>#DIV/0!</v>
      </c>
      <c r="H17" s="55">
        <f t="shared" si="0"/>
        <v>0</v>
      </c>
      <c r="I17" s="122"/>
      <c r="J17" s="1"/>
    </row>
    <row r="18" spans="1:10" ht="14.25" customHeight="1">
      <c r="A18" s="56">
        <v>717000</v>
      </c>
      <c r="B18" s="57"/>
      <c r="C18" s="83" t="s">
        <v>304</v>
      </c>
      <c r="D18" s="66">
        <f>SUM(D19)</f>
        <v>11200000</v>
      </c>
      <c r="E18" s="66">
        <f>SUM(E19)</f>
        <v>1600000</v>
      </c>
      <c r="F18" s="66">
        <f>SUM(F19)</f>
        <v>12800000</v>
      </c>
      <c r="G18" s="67">
        <f t="shared" si="1"/>
        <v>114.28571428571428</v>
      </c>
      <c r="H18" s="69">
        <f t="shared" si="0"/>
        <v>51.62316609856897</v>
      </c>
      <c r="I18" s="122"/>
      <c r="J18" s="1"/>
    </row>
    <row r="19" spans="1:10" ht="14.25" customHeight="1">
      <c r="A19" s="84" t="s">
        <v>460</v>
      </c>
      <c r="B19" s="82"/>
      <c r="C19" s="78" t="s">
        <v>304</v>
      </c>
      <c r="D19" s="73">
        <v>11200000</v>
      </c>
      <c r="E19" s="73">
        <f>F19-D19</f>
        <v>1600000</v>
      </c>
      <c r="F19" s="73">
        <v>12800000</v>
      </c>
      <c r="G19" s="127">
        <f t="shared" si="1"/>
        <v>114.28571428571428</v>
      </c>
      <c r="H19" s="341">
        <f t="shared" si="0"/>
        <v>51.62316609856897</v>
      </c>
      <c r="I19" s="336"/>
      <c r="J19" s="1"/>
    </row>
    <row r="20" spans="1:10" ht="14.25" customHeight="1">
      <c r="A20" s="56">
        <v>719000</v>
      </c>
      <c r="B20" s="57"/>
      <c r="C20" s="76" t="s">
        <v>305</v>
      </c>
      <c r="D20" s="66">
        <f>SUM(D21)</f>
        <v>1000000</v>
      </c>
      <c r="E20" s="66">
        <f>SUM(E21)</f>
        <v>0</v>
      </c>
      <c r="F20" s="66">
        <f>SUM(F21)</f>
        <v>1000000</v>
      </c>
      <c r="G20" s="67">
        <f t="shared" si="1"/>
        <v>100</v>
      </c>
      <c r="H20" s="69">
        <f t="shared" si="0"/>
        <v>4.033059851450702</v>
      </c>
      <c r="I20" s="122"/>
      <c r="J20" s="1"/>
    </row>
    <row r="21" spans="1:10" ht="14.25" customHeight="1">
      <c r="A21" s="70">
        <v>719113</v>
      </c>
      <c r="B21" s="71"/>
      <c r="C21" s="77" t="s">
        <v>9</v>
      </c>
      <c r="D21" s="73">
        <f>45000+955000</f>
        <v>1000000</v>
      </c>
      <c r="E21" s="73">
        <f>F21-D21</f>
        <v>0</v>
      </c>
      <c r="F21" s="73">
        <f>45000+955000</f>
        <v>1000000</v>
      </c>
      <c r="G21" s="127">
        <f t="shared" si="1"/>
        <v>100</v>
      </c>
      <c r="H21" s="341">
        <f t="shared" si="0"/>
        <v>4.033059851450702</v>
      </c>
      <c r="I21" s="122"/>
      <c r="J21" s="1"/>
    </row>
    <row r="22" spans="1:10" ht="15" customHeight="1">
      <c r="A22" s="56">
        <v>720000</v>
      </c>
      <c r="B22" s="57"/>
      <c r="C22" s="58" t="s">
        <v>218</v>
      </c>
      <c r="D22" s="59">
        <f>D23+D31+D77+D79+D82</f>
        <v>6906400</v>
      </c>
      <c r="E22" s="59">
        <f>E23+E31+E77+E79+E82</f>
        <v>367872.18</v>
      </c>
      <c r="F22" s="59">
        <f>F23+F31+F77+F79+F82</f>
        <v>7274272.18</v>
      </c>
      <c r="G22" s="60">
        <f t="shared" si="1"/>
        <v>105.32654031043668</v>
      </c>
      <c r="H22" s="423">
        <f t="shared" si="0"/>
        <v>29.33757507768277</v>
      </c>
      <c r="I22" s="122"/>
      <c r="J22" s="1"/>
    </row>
    <row r="23" spans="1:10" ht="14.25" customHeight="1">
      <c r="A23" s="56">
        <v>721000</v>
      </c>
      <c r="B23" s="57"/>
      <c r="C23" s="65" t="s">
        <v>152</v>
      </c>
      <c r="D23" s="66">
        <f>D24+D29</f>
        <v>331300</v>
      </c>
      <c r="E23" s="66">
        <f>E24+E29</f>
        <v>0</v>
      </c>
      <c r="F23" s="66">
        <f>F24+F29</f>
        <v>331300</v>
      </c>
      <c r="G23" s="67">
        <f t="shared" si="1"/>
        <v>100</v>
      </c>
      <c r="H23" s="69">
        <f t="shared" si="0"/>
        <v>1.3361527287856174</v>
      </c>
      <c r="I23" s="122"/>
      <c r="J23" s="1"/>
    </row>
    <row r="24" spans="1:10" ht="13.5" customHeight="1">
      <c r="A24" s="63">
        <v>721200</v>
      </c>
      <c r="B24" s="64"/>
      <c r="C24" s="76" t="s">
        <v>153</v>
      </c>
      <c r="D24" s="85">
        <f>SUM(D25:D28)</f>
        <v>330000</v>
      </c>
      <c r="E24" s="85">
        <f>SUM(E25:E28)</f>
        <v>0</v>
      </c>
      <c r="F24" s="85">
        <f>SUM(F25:F28)</f>
        <v>330000</v>
      </c>
      <c r="G24" s="86">
        <f t="shared" si="1"/>
        <v>100</v>
      </c>
      <c r="H24" s="87">
        <f t="shared" si="0"/>
        <v>1.3309097509787315</v>
      </c>
      <c r="I24" s="122"/>
      <c r="J24" s="1"/>
    </row>
    <row r="25" spans="1:10" ht="14.25" customHeight="1">
      <c r="A25" s="70">
        <v>721222</v>
      </c>
      <c r="B25" s="71"/>
      <c r="C25" s="77" t="s">
        <v>563</v>
      </c>
      <c r="D25" s="73">
        <v>19500</v>
      </c>
      <c r="E25" s="73">
        <f>F25-D25</f>
        <v>0</v>
      </c>
      <c r="F25" s="73">
        <v>19500</v>
      </c>
      <c r="G25" s="127">
        <f t="shared" si="1"/>
        <v>100</v>
      </c>
      <c r="H25" s="341">
        <f t="shared" si="0"/>
        <v>0.07864466710328868</v>
      </c>
      <c r="I25" s="122"/>
      <c r="J25" s="1"/>
    </row>
    <row r="26" spans="1:10" ht="14.25" customHeight="1">
      <c r="A26" s="128">
        <v>721222</v>
      </c>
      <c r="B26" s="71"/>
      <c r="C26" s="77" t="s">
        <v>564</v>
      </c>
      <c r="D26" s="73">
        <v>44500</v>
      </c>
      <c r="E26" s="73">
        <f>F26-D26</f>
        <v>0</v>
      </c>
      <c r="F26" s="73">
        <v>44500</v>
      </c>
      <c r="G26" s="127">
        <f t="shared" si="1"/>
        <v>100</v>
      </c>
      <c r="H26" s="341">
        <f t="shared" si="0"/>
        <v>0.1794711633895562</v>
      </c>
      <c r="I26" s="122"/>
      <c r="J26" s="1"/>
    </row>
    <row r="27" spans="1:9" ht="14.25" customHeight="1">
      <c r="A27" s="70">
        <v>721223</v>
      </c>
      <c r="B27" s="71"/>
      <c r="C27" s="78" t="s">
        <v>10</v>
      </c>
      <c r="D27" s="73">
        <v>250000</v>
      </c>
      <c r="E27" s="73">
        <f>F27-D27</f>
        <v>0</v>
      </c>
      <c r="F27" s="73">
        <v>250000</v>
      </c>
      <c r="G27" s="127">
        <f t="shared" si="1"/>
        <v>100</v>
      </c>
      <c r="H27" s="341">
        <f t="shared" si="0"/>
        <v>1.0082649628626754</v>
      </c>
      <c r="I27" s="122"/>
    </row>
    <row r="28" spans="1:9" ht="14.25" customHeight="1">
      <c r="A28" s="70">
        <v>721224</v>
      </c>
      <c r="B28" s="71"/>
      <c r="C28" s="78" t="s">
        <v>219</v>
      </c>
      <c r="D28" s="73">
        <v>16000</v>
      </c>
      <c r="E28" s="73">
        <f>F28-D28</f>
        <v>0</v>
      </c>
      <c r="F28" s="73">
        <v>16000</v>
      </c>
      <c r="G28" s="127">
        <f t="shared" si="1"/>
        <v>100</v>
      </c>
      <c r="H28" s="341">
        <f t="shared" si="0"/>
        <v>0.06452895762321122</v>
      </c>
      <c r="I28" s="122"/>
    </row>
    <row r="29" spans="1:9" ht="14.25" customHeight="1">
      <c r="A29" s="63">
        <v>721300</v>
      </c>
      <c r="B29" s="64"/>
      <c r="C29" s="76" t="s">
        <v>154</v>
      </c>
      <c r="D29" s="85">
        <f>SUM(D30:D30)</f>
        <v>1300</v>
      </c>
      <c r="E29" s="85">
        <f>SUM(E30:E30)</f>
        <v>0</v>
      </c>
      <c r="F29" s="85">
        <f>SUM(F30:F30)</f>
        <v>1300</v>
      </c>
      <c r="G29" s="86">
        <f t="shared" si="1"/>
        <v>100</v>
      </c>
      <c r="H29" s="87">
        <f t="shared" si="0"/>
        <v>0.005242977806885912</v>
      </c>
      <c r="I29" s="122"/>
    </row>
    <row r="30" spans="1:9" ht="14.25" customHeight="1">
      <c r="A30" s="81">
        <v>721310</v>
      </c>
      <c r="B30" s="82"/>
      <c r="C30" s="77" t="s">
        <v>220</v>
      </c>
      <c r="D30" s="73">
        <v>1300</v>
      </c>
      <c r="E30" s="73">
        <f>F30-D30</f>
        <v>0</v>
      </c>
      <c r="F30" s="73">
        <v>1300</v>
      </c>
      <c r="G30" s="127">
        <f t="shared" si="1"/>
        <v>100</v>
      </c>
      <c r="H30" s="341">
        <f t="shared" si="0"/>
        <v>0.005242977806885912</v>
      </c>
      <c r="I30" s="122"/>
    </row>
    <row r="31" spans="1:9" ht="14.25" customHeight="1">
      <c r="A31" s="56">
        <v>722000</v>
      </c>
      <c r="B31" s="57"/>
      <c r="C31" s="76" t="s">
        <v>155</v>
      </c>
      <c r="D31" s="66">
        <f>D32+D35+D44+D54</f>
        <v>6402000</v>
      </c>
      <c r="E31" s="66">
        <f>E32+E35+E44+E54</f>
        <v>132516.77999999997</v>
      </c>
      <c r="F31" s="66">
        <f>F32+F35+F44+F54</f>
        <v>6534516.779999999</v>
      </c>
      <c r="G31" s="67">
        <f t="shared" si="1"/>
        <v>102.06992783505153</v>
      </c>
      <c r="H31" s="69">
        <f t="shared" si="0"/>
        <v>26.354097274048915</v>
      </c>
      <c r="I31" s="122"/>
    </row>
    <row r="32" spans="1:9" ht="14.25" customHeight="1">
      <c r="A32" s="63">
        <v>722100</v>
      </c>
      <c r="B32" s="64"/>
      <c r="C32" s="76" t="s">
        <v>11</v>
      </c>
      <c r="D32" s="88">
        <f>SUM(D33:D34)</f>
        <v>142000</v>
      </c>
      <c r="E32" s="88">
        <f>SUM(E33:E34)</f>
        <v>-32000</v>
      </c>
      <c r="F32" s="88">
        <f>SUM(F33:F34)</f>
        <v>110000</v>
      </c>
      <c r="G32" s="86">
        <f t="shared" si="1"/>
        <v>77.46478873239437</v>
      </c>
      <c r="H32" s="87">
        <f t="shared" si="0"/>
        <v>0.44363658365957714</v>
      </c>
      <c r="I32" s="122"/>
    </row>
    <row r="33" spans="1:9" ht="13.5" customHeight="1" hidden="1">
      <c r="A33" s="70">
        <v>722118</v>
      </c>
      <c r="B33" s="64"/>
      <c r="C33" s="77" t="s">
        <v>348</v>
      </c>
      <c r="D33" s="73">
        <v>0</v>
      </c>
      <c r="E33" s="73">
        <v>0</v>
      </c>
      <c r="F33" s="73">
        <v>0</v>
      </c>
      <c r="G33" s="86" t="e">
        <f t="shared" si="1"/>
        <v>#DIV/0!</v>
      </c>
      <c r="H33" s="87">
        <f t="shared" si="0"/>
        <v>0</v>
      </c>
      <c r="I33" s="122"/>
    </row>
    <row r="34" spans="1:9" ht="14.25" customHeight="1">
      <c r="A34" s="70">
        <v>722121</v>
      </c>
      <c r="B34" s="71"/>
      <c r="C34" s="77" t="s">
        <v>12</v>
      </c>
      <c r="D34" s="99">
        <v>142000</v>
      </c>
      <c r="E34" s="99">
        <f>F34-D34</f>
        <v>-32000</v>
      </c>
      <c r="F34" s="99">
        <v>110000</v>
      </c>
      <c r="G34" s="127">
        <f t="shared" si="1"/>
        <v>77.46478873239437</v>
      </c>
      <c r="H34" s="341">
        <f t="shared" si="0"/>
        <v>0.44363658365957714</v>
      </c>
      <c r="I34" s="122"/>
    </row>
    <row r="35" spans="1:9" ht="14.25" customHeight="1">
      <c r="A35" s="63">
        <v>722300</v>
      </c>
      <c r="B35" s="64"/>
      <c r="C35" s="76" t="s">
        <v>13</v>
      </c>
      <c r="D35" s="88">
        <f>SUM(D36:D43)</f>
        <v>412900</v>
      </c>
      <c r="E35" s="88">
        <f>SUM(E36:E43)</f>
        <v>-55772.89</v>
      </c>
      <c r="F35" s="88">
        <f>SUM(F36:F43)</f>
        <v>357127.11</v>
      </c>
      <c r="G35" s="86">
        <f t="shared" si="1"/>
        <v>86.49239767498183</v>
      </c>
      <c r="H35" s="87">
        <f t="shared" si="0"/>
        <v>1.4403150092056183</v>
      </c>
      <c r="I35" s="122"/>
    </row>
    <row r="36" spans="1:9" ht="14.25" customHeight="1">
      <c r="A36" s="70">
        <v>722312</v>
      </c>
      <c r="B36" s="71"/>
      <c r="C36" s="77" t="s">
        <v>282</v>
      </c>
      <c r="D36" s="73">
        <v>97000</v>
      </c>
      <c r="E36" s="73">
        <f>F36-D36</f>
        <v>-57000</v>
      </c>
      <c r="F36" s="73">
        <v>40000</v>
      </c>
      <c r="G36" s="127">
        <f t="shared" si="1"/>
        <v>41.23711340206185</v>
      </c>
      <c r="H36" s="341">
        <f t="shared" si="0"/>
        <v>0.16132239405802806</v>
      </c>
      <c r="I36" s="336"/>
    </row>
    <row r="37" spans="1:9" ht="24" customHeight="1">
      <c r="A37" s="70">
        <v>722314</v>
      </c>
      <c r="B37" s="71"/>
      <c r="C37" s="77" t="s">
        <v>283</v>
      </c>
      <c r="D37" s="73">
        <v>47000</v>
      </c>
      <c r="E37" s="73">
        <f aca="true" t="shared" si="2" ref="E37:E43">F37-D37</f>
        <v>0</v>
      </c>
      <c r="F37" s="73">
        <v>47000</v>
      </c>
      <c r="G37" s="127">
        <f t="shared" si="1"/>
        <v>100</v>
      </c>
      <c r="H37" s="341">
        <f aca="true" t="shared" si="3" ref="H37:H68">F37/$F$113*100</f>
        <v>0.18955381301818297</v>
      </c>
      <c r="I37" s="122"/>
    </row>
    <row r="38" spans="1:9" ht="23.25" customHeight="1">
      <c r="A38" s="70">
        <v>722316</v>
      </c>
      <c r="B38" s="71"/>
      <c r="C38" s="77" t="s">
        <v>14</v>
      </c>
      <c r="D38" s="73">
        <v>0</v>
      </c>
      <c r="E38" s="73">
        <f t="shared" si="2"/>
        <v>327.11</v>
      </c>
      <c r="F38" s="73">
        <v>327.11</v>
      </c>
      <c r="G38" s="127" t="e">
        <f t="shared" si="1"/>
        <v>#DIV/0!</v>
      </c>
      <c r="H38" s="341">
        <f t="shared" si="3"/>
        <v>0.001319254208008039</v>
      </c>
      <c r="I38" s="122"/>
    </row>
    <row r="39" spans="1:9" ht="25.5" customHeight="1">
      <c r="A39" s="70">
        <v>722317</v>
      </c>
      <c r="B39" s="71"/>
      <c r="C39" s="77" t="s">
        <v>284</v>
      </c>
      <c r="D39" s="73">
        <v>0</v>
      </c>
      <c r="E39" s="73">
        <f t="shared" si="2"/>
        <v>900</v>
      </c>
      <c r="F39" s="73">
        <v>900</v>
      </c>
      <c r="G39" s="127" t="e">
        <f t="shared" si="1"/>
        <v>#DIV/0!</v>
      </c>
      <c r="H39" s="341">
        <f t="shared" si="3"/>
        <v>0.0036297538663056313</v>
      </c>
      <c r="I39" s="122"/>
    </row>
    <row r="40" spans="1:10" ht="14.25" customHeight="1">
      <c r="A40" s="70">
        <v>722318</v>
      </c>
      <c r="B40" s="71"/>
      <c r="C40" s="77" t="s">
        <v>15</v>
      </c>
      <c r="D40" s="99">
        <v>2500</v>
      </c>
      <c r="E40" s="73">
        <f t="shared" si="2"/>
        <v>0</v>
      </c>
      <c r="F40" s="99">
        <v>2500</v>
      </c>
      <c r="G40" s="127">
        <f t="shared" si="1"/>
        <v>100</v>
      </c>
      <c r="H40" s="341">
        <f t="shared" si="3"/>
        <v>0.010082649628626754</v>
      </c>
      <c r="I40" s="122"/>
      <c r="J40" s="1"/>
    </row>
    <row r="41" spans="1:10" ht="24.75" customHeight="1">
      <c r="A41" s="70">
        <v>722319</v>
      </c>
      <c r="B41" s="71"/>
      <c r="C41" s="77" t="s">
        <v>568</v>
      </c>
      <c r="D41" s="99">
        <v>231000</v>
      </c>
      <c r="E41" s="73">
        <f t="shared" si="2"/>
        <v>0</v>
      </c>
      <c r="F41" s="99">
        <v>231000</v>
      </c>
      <c r="G41" s="127">
        <f t="shared" si="1"/>
        <v>100</v>
      </c>
      <c r="H41" s="341">
        <f t="shared" si="3"/>
        <v>0.9316368256851121</v>
      </c>
      <c r="I41" s="336"/>
      <c r="J41" s="1"/>
    </row>
    <row r="42" spans="1:10" ht="24.75" customHeight="1">
      <c r="A42" s="70">
        <v>722391</v>
      </c>
      <c r="B42" s="71"/>
      <c r="C42" s="77" t="s">
        <v>16</v>
      </c>
      <c r="D42" s="73">
        <v>13000</v>
      </c>
      <c r="E42" s="73">
        <f t="shared" si="2"/>
        <v>0</v>
      </c>
      <c r="F42" s="73">
        <v>13000</v>
      </c>
      <c r="G42" s="127">
        <f t="shared" si="1"/>
        <v>100</v>
      </c>
      <c r="H42" s="341">
        <f t="shared" si="3"/>
        <v>0.05242977806885912</v>
      </c>
      <c r="I42" s="122"/>
      <c r="J42" s="1"/>
    </row>
    <row r="43" spans="1:10" ht="14.25" customHeight="1">
      <c r="A43" s="70">
        <v>722396</v>
      </c>
      <c r="B43" s="71"/>
      <c r="C43" s="77" t="s">
        <v>156</v>
      </c>
      <c r="D43" s="73">
        <v>22400</v>
      </c>
      <c r="E43" s="73">
        <f t="shared" si="2"/>
        <v>0</v>
      </c>
      <c r="F43" s="73">
        <v>22400</v>
      </c>
      <c r="G43" s="127">
        <f t="shared" si="1"/>
        <v>100</v>
      </c>
      <c r="H43" s="341">
        <f t="shared" si="3"/>
        <v>0.09034054067249571</v>
      </c>
      <c r="I43" s="122"/>
      <c r="J43" s="1"/>
    </row>
    <row r="44" spans="1:10" ht="14.25" customHeight="1">
      <c r="A44" s="63">
        <v>722400</v>
      </c>
      <c r="B44" s="64"/>
      <c r="C44" s="83" t="s">
        <v>17</v>
      </c>
      <c r="D44" s="86">
        <f>SUM(D45:D53)</f>
        <v>1264000</v>
      </c>
      <c r="E44" s="86">
        <f>SUM(E45:E53)</f>
        <v>-120000</v>
      </c>
      <c r="F44" s="86">
        <f>SUM(F45:F53)</f>
        <v>1144000</v>
      </c>
      <c r="G44" s="86">
        <f t="shared" si="1"/>
        <v>90.50632911392405</v>
      </c>
      <c r="H44" s="87">
        <f t="shared" si="3"/>
        <v>4.613820470059602</v>
      </c>
      <c r="I44" s="122"/>
      <c r="J44" s="1"/>
    </row>
    <row r="45" spans="1:10" ht="14.25" customHeight="1">
      <c r="A45" s="70">
        <v>722411</v>
      </c>
      <c r="B45" s="71"/>
      <c r="C45" s="77" t="s">
        <v>280</v>
      </c>
      <c r="D45" s="73">
        <v>260000</v>
      </c>
      <c r="E45" s="73">
        <f>F45-D45</f>
        <v>0</v>
      </c>
      <c r="F45" s="73">
        <v>260000</v>
      </c>
      <c r="G45" s="127">
        <f t="shared" si="1"/>
        <v>100</v>
      </c>
      <c r="H45" s="341">
        <f t="shared" si="3"/>
        <v>1.0485955613771822</v>
      </c>
      <c r="I45" s="122"/>
      <c r="J45" s="1"/>
    </row>
    <row r="46" spans="1:10" ht="14.25" customHeight="1">
      <c r="A46" s="70">
        <v>722424</v>
      </c>
      <c r="B46" s="71"/>
      <c r="C46" s="77" t="s">
        <v>221</v>
      </c>
      <c r="D46" s="73">
        <v>52000</v>
      </c>
      <c r="E46" s="73">
        <f aca="true" t="shared" si="4" ref="E46:E53">F46-D46</f>
        <v>0</v>
      </c>
      <c r="F46" s="73">
        <v>52000</v>
      </c>
      <c r="G46" s="127">
        <f t="shared" si="1"/>
        <v>100</v>
      </c>
      <c r="H46" s="341">
        <f t="shared" si="3"/>
        <v>0.2097191122754365</v>
      </c>
      <c r="I46" s="122"/>
      <c r="J46" s="1"/>
    </row>
    <row r="47" spans="1:10" ht="14.25" customHeight="1">
      <c r="A47" s="70">
        <v>722425</v>
      </c>
      <c r="B47" s="71"/>
      <c r="C47" s="77" t="s">
        <v>222</v>
      </c>
      <c r="D47" s="73">
        <v>200000</v>
      </c>
      <c r="E47" s="73">
        <f t="shared" si="4"/>
        <v>-120000</v>
      </c>
      <c r="F47" s="73">
        <v>80000</v>
      </c>
      <c r="G47" s="127">
        <f t="shared" si="1"/>
        <v>40</v>
      </c>
      <c r="H47" s="341">
        <f t="shared" si="3"/>
        <v>0.3226447881160561</v>
      </c>
      <c r="I47" s="122"/>
      <c r="J47" s="1"/>
    </row>
    <row r="48" spans="1:10" ht="36" customHeight="1">
      <c r="A48" s="70">
        <v>722435</v>
      </c>
      <c r="B48" s="71"/>
      <c r="C48" s="77" t="s">
        <v>281</v>
      </c>
      <c r="D48" s="99">
        <v>220000</v>
      </c>
      <c r="E48" s="73">
        <f t="shared" si="4"/>
        <v>0</v>
      </c>
      <c r="F48" s="99">
        <v>220000</v>
      </c>
      <c r="G48" s="127">
        <f t="shared" si="1"/>
        <v>100</v>
      </c>
      <c r="H48" s="341">
        <f t="shared" si="3"/>
        <v>0.8872731673191543</v>
      </c>
      <c r="I48" s="122"/>
      <c r="J48" s="1"/>
    </row>
    <row r="49" spans="1:10" ht="24" customHeight="1">
      <c r="A49" s="70">
        <v>722437</v>
      </c>
      <c r="B49" s="71"/>
      <c r="C49" s="77" t="s">
        <v>233</v>
      </c>
      <c r="D49" s="73">
        <v>32000</v>
      </c>
      <c r="E49" s="73">
        <f t="shared" si="4"/>
        <v>0</v>
      </c>
      <c r="F49" s="73">
        <v>32000</v>
      </c>
      <c r="G49" s="127">
        <f t="shared" si="1"/>
        <v>100</v>
      </c>
      <c r="H49" s="341">
        <f t="shared" si="3"/>
        <v>0.12905791524642243</v>
      </c>
      <c r="I49" s="122"/>
      <c r="J49" s="1"/>
    </row>
    <row r="50" spans="1:10" ht="26.25" customHeight="1">
      <c r="A50" s="81">
        <v>722440</v>
      </c>
      <c r="B50" s="82"/>
      <c r="C50" s="80" t="s">
        <v>406</v>
      </c>
      <c r="D50" s="73">
        <v>125000</v>
      </c>
      <c r="E50" s="73">
        <f t="shared" si="4"/>
        <v>0</v>
      </c>
      <c r="F50" s="73">
        <v>125000</v>
      </c>
      <c r="G50" s="127">
        <f t="shared" si="1"/>
        <v>100</v>
      </c>
      <c r="H50" s="341">
        <f t="shared" si="3"/>
        <v>0.5041324814313377</v>
      </c>
      <c r="I50" s="122"/>
      <c r="J50" s="1"/>
    </row>
    <row r="51" spans="1:10" ht="24.75" customHeight="1">
      <c r="A51" s="70">
        <v>722461</v>
      </c>
      <c r="B51" s="71"/>
      <c r="C51" s="77" t="s">
        <v>56</v>
      </c>
      <c r="D51" s="73">
        <v>190000</v>
      </c>
      <c r="E51" s="73">
        <f t="shared" si="4"/>
        <v>0</v>
      </c>
      <c r="F51" s="73">
        <v>190000</v>
      </c>
      <c r="G51" s="127">
        <f t="shared" si="1"/>
        <v>100</v>
      </c>
      <c r="H51" s="341">
        <f t="shared" si="3"/>
        <v>0.7662813717756333</v>
      </c>
      <c r="I51" s="122"/>
      <c r="J51" s="1"/>
    </row>
    <row r="52" spans="1:10" ht="13.5" customHeight="1">
      <c r="A52" s="70">
        <v>722467</v>
      </c>
      <c r="B52" s="71"/>
      <c r="C52" s="77" t="s">
        <v>18</v>
      </c>
      <c r="D52" s="73">
        <v>170000</v>
      </c>
      <c r="E52" s="73">
        <f t="shared" si="4"/>
        <v>0</v>
      </c>
      <c r="F52" s="73">
        <v>170000</v>
      </c>
      <c r="G52" s="127">
        <f t="shared" si="1"/>
        <v>100</v>
      </c>
      <c r="H52" s="341">
        <f t="shared" si="3"/>
        <v>0.6856201747466193</v>
      </c>
      <c r="I52" s="122"/>
      <c r="J52" s="1"/>
    </row>
    <row r="53" spans="1:10" ht="24" customHeight="1">
      <c r="A53" s="70">
        <v>722491</v>
      </c>
      <c r="B53" s="71"/>
      <c r="C53" s="77" t="s">
        <v>279</v>
      </c>
      <c r="D53" s="73">
        <v>15000</v>
      </c>
      <c r="E53" s="73">
        <f t="shared" si="4"/>
        <v>0</v>
      </c>
      <c r="F53" s="73">
        <v>15000</v>
      </c>
      <c r="G53" s="127">
        <f t="shared" si="1"/>
        <v>100</v>
      </c>
      <c r="H53" s="341">
        <f t="shared" si="3"/>
        <v>0.060495897771760516</v>
      </c>
      <c r="I53" s="122"/>
      <c r="J53" s="1"/>
    </row>
    <row r="54" spans="1:10" ht="20.25" customHeight="1">
      <c r="A54" s="89">
        <v>722500</v>
      </c>
      <c r="B54" s="90"/>
      <c r="C54" s="76" t="s">
        <v>571</v>
      </c>
      <c r="D54" s="86">
        <f>D55+D57+D69</f>
        <v>4583100</v>
      </c>
      <c r="E54" s="86">
        <f>E55+E57+E69</f>
        <v>340289.67</v>
      </c>
      <c r="F54" s="86">
        <f>F55+F57+F69</f>
        <v>4923389.67</v>
      </c>
      <c r="G54" s="86">
        <f t="shared" si="1"/>
        <v>107.42487988479414</v>
      </c>
      <c r="H54" s="87">
        <f t="shared" si="3"/>
        <v>19.85632521112412</v>
      </c>
      <c r="I54" s="122"/>
      <c r="J54" s="1"/>
    </row>
    <row r="55" spans="1:10" ht="17.25" customHeight="1">
      <c r="A55" s="70"/>
      <c r="B55" s="374"/>
      <c r="C55" s="368" t="s">
        <v>600</v>
      </c>
      <c r="D55" s="370">
        <f>SUM(D56)</f>
        <v>7300</v>
      </c>
      <c r="E55" s="370">
        <f>SUM(E56)</f>
        <v>0</v>
      </c>
      <c r="F55" s="370">
        <f>SUM(F56)</f>
        <v>7300</v>
      </c>
      <c r="G55" s="86">
        <f t="shared" si="1"/>
        <v>100</v>
      </c>
      <c r="H55" s="87">
        <f t="shared" si="3"/>
        <v>0.02944133691559012</v>
      </c>
      <c r="I55" s="122"/>
      <c r="J55" s="1"/>
    </row>
    <row r="56" spans="1:10" ht="16.5" customHeight="1">
      <c r="A56" s="70">
        <v>722521</v>
      </c>
      <c r="B56" s="374"/>
      <c r="C56" s="371" t="s">
        <v>599</v>
      </c>
      <c r="D56" s="127">
        <v>7300</v>
      </c>
      <c r="E56" s="127">
        <f>F56-D56</f>
        <v>0</v>
      </c>
      <c r="F56" s="127">
        <v>7300</v>
      </c>
      <c r="G56" s="127">
        <f t="shared" si="1"/>
        <v>100</v>
      </c>
      <c r="H56" s="341">
        <f t="shared" si="3"/>
        <v>0.02944133691559012</v>
      </c>
      <c r="I56" s="122"/>
      <c r="J56" s="1"/>
    </row>
    <row r="57" spans="1:10" ht="19.5" customHeight="1">
      <c r="A57" s="70"/>
      <c r="B57" s="71"/>
      <c r="C57" s="373" t="s">
        <v>601</v>
      </c>
      <c r="D57" s="370">
        <f>SUM(D58:D68)</f>
        <v>4265900</v>
      </c>
      <c r="E57" s="370">
        <f>SUM(E58:E68)</f>
        <v>353789.67</v>
      </c>
      <c r="F57" s="370">
        <f>SUM(F58:F68)</f>
        <v>4619689.67</v>
      </c>
      <c r="G57" s="86">
        <f t="shared" si="1"/>
        <v>108.29343561733748</v>
      </c>
      <c r="H57" s="87">
        <f t="shared" si="3"/>
        <v>18.63148493423854</v>
      </c>
      <c r="I57" s="122"/>
      <c r="J57" s="1"/>
    </row>
    <row r="58" spans="1:10" ht="14.25" customHeight="1">
      <c r="A58" s="128">
        <v>722561</v>
      </c>
      <c r="B58" s="71"/>
      <c r="C58" s="77" t="s">
        <v>547</v>
      </c>
      <c r="D58" s="73">
        <v>205000</v>
      </c>
      <c r="E58" s="73">
        <f>F58-D58</f>
        <v>0</v>
      </c>
      <c r="F58" s="73">
        <v>205000</v>
      </c>
      <c r="G58" s="127">
        <f t="shared" si="1"/>
        <v>100</v>
      </c>
      <c r="H58" s="341">
        <f t="shared" si="3"/>
        <v>0.8267772695473938</v>
      </c>
      <c r="I58" s="122"/>
      <c r="J58" s="1"/>
    </row>
    <row r="59" spans="1:10" ht="14.25" customHeight="1">
      <c r="A59" s="128">
        <v>722562</v>
      </c>
      <c r="B59" s="71"/>
      <c r="C59" s="77" t="s">
        <v>548</v>
      </c>
      <c r="D59" s="73">
        <v>59200</v>
      </c>
      <c r="E59" s="73">
        <f aca="true" t="shared" si="5" ref="E59:E68">F59-D59</f>
        <v>0</v>
      </c>
      <c r="F59" s="73">
        <v>59200</v>
      </c>
      <c r="G59" s="127">
        <f t="shared" si="1"/>
        <v>100</v>
      </c>
      <c r="H59" s="341">
        <f t="shared" si="3"/>
        <v>0.2387571432058815</v>
      </c>
      <c r="I59" s="122"/>
      <c r="J59" s="1"/>
    </row>
    <row r="60" spans="1:10" ht="14.25" customHeight="1">
      <c r="A60" s="128">
        <v>722565</v>
      </c>
      <c r="B60" s="71"/>
      <c r="C60" s="77" t="s">
        <v>609</v>
      </c>
      <c r="D60" s="73">
        <v>364000</v>
      </c>
      <c r="E60" s="73">
        <f t="shared" si="5"/>
        <v>-46210.330000000016</v>
      </c>
      <c r="F60" s="73">
        <v>317789.67</v>
      </c>
      <c r="G60" s="127">
        <f t="shared" si="1"/>
        <v>87.3048543956044</v>
      </c>
      <c r="H60" s="341">
        <f t="shared" si="3"/>
        <v>1.2816647592827672</v>
      </c>
      <c r="I60" s="122"/>
      <c r="J60" s="1"/>
    </row>
    <row r="61" spans="1:10" ht="14.25" customHeight="1">
      <c r="A61" s="128">
        <v>722569</v>
      </c>
      <c r="B61" s="71"/>
      <c r="C61" s="77" t="s">
        <v>549</v>
      </c>
      <c r="D61" s="73">
        <v>56000</v>
      </c>
      <c r="E61" s="73">
        <f t="shared" si="5"/>
        <v>0</v>
      </c>
      <c r="F61" s="73">
        <v>56000</v>
      </c>
      <c r="G61" s="127">
        <f t="shared" si="1"/>
        <v>100</v>
      </c>
      <c r="H61" s="341">
        <f t="shared" si="3"/>
        <v>0.2258513516812393</v>
      </c>
      <c r="I61" s="122"/>
      <c r="J61" s="1"/>
    </row>
    <row r="62" spans="1:10" ht="14.25" customHeight="1">
      <c r="A62" s="128">
        <v>722571</v>
      </c>
      <c r="B62" s="71"/>
      <c r="C62" s="77" t="s">
        <v>550</v>
      </c>
      <c r="D62" s="73">
        <v>2900000</v>
      </c>
      <c r="E62" s="73">
        <f t="shared" si="5"/>
        <v>400000</v>
      </c>
      <c r="F62" s="73">
        <v>3300000</v>
      </c>
      <c r="G62" s="127">
        <f t="shared" si="1"/>
        <v>113.79310344827587</v>
      </c>
      <c r="H62" s="341">
        <f t="shared" si="3"/>
        <v>13.309097509787316</v>
      </c>
      <c r="I62" s="122"/>
      <c r="J62" s="1"/>
    </row>
    <row r="63" spans="1:10" ht="14.25" customHeight="1">
      <c r="A63" s="128">
        <v>722575</v>
      </c>
      <c r="B63" s="71"/>
      <c r="C63" s="77" t="s">
        <v>555</v>
      </c>
      <c r="D63" s="73">
        <v>237000</v>
      </c>
      <c r="E63" s="73">
        <f t="shared" si="5"/>
        <v>0</v>
      </c>
      <c r="F63" s="73">
        <v>237000</v>
      </c>
      <c r="G63" s="127">
        <f t="shared" si="1"/>
        <v>100</v>
      </c>
      <c r="H63" s="341">
        <f t="shared" si="3"/>
        <v>0.9558351847938162</v>
      </c>
      <c r="I63" s="122"/>
      <c r="J63" s="1"/>
    </row>
    <row r="64" spans="1:10" ht="14.25" customHeight="1">
      <c r="A64" s="128">
        <v>722576</v>
      </c>
      <c r="B64" s="71"/>
      <c r="C64" s="77" t="s">
        <v>551</v>
      </c>
      <c r="D64" s="73">
        <v>36000</v>
      </c>
      <c r="E64" s="73">
        <f t="shared" si="5"/>
        <v>0</v>
      </c>
      <c r="F64" s="73">
        <v>36000</v>
      </c>
      <c r="G64" s="127">
        <f t="shared" si="1"/>
        <v>100</v>
      </c>
      <c r="H64" s="341">
        <f t="shared" si="3"/>
        <v>0.14519015465222526</v>
      </c>
      <c r="I64" s="122"/>
      <c r="J64" s="1"/>
    </row>
    <row r="65" spans="1:10" ht="26.25" customHeight="1">
      <c r="A65" s="128">
        <v>722577</v>
      </c>
      <c r="B65" s="71"/>
      <c r="C65" s="77" t="s">
        <v>556</v>
      </c>
      <c r="D65" s="73">
        <v>229600</v>
      </c>
      <c r="E65" s="73">
        <f t="shared" si="5"/>
        <v>0</v>
      </c>
      <c r="F65" s="73">
        <v>229600</v>
      </c>
      <c r="G65" s="127">
        <f t="shared" si="1"/>
        <v>100</v>
      </c>
      <c r="H65" s="341">
        <f t="shared" si="3"/>
        <v>0.925990541893081</v>
      </c>
      <c r="I65" s="122"/>
      <c r="J65" s="1"/>
    </row>
    <row r="66" spans="1:10" ht="14.25" customHeight="1">
      <c r="A66" s="128">
        <v>722578</v>
      </c>
      <c r="B66" s="71"/>
      <c r="C66" s="77" t="s">
        <v>552</v>
      </c>
      <c r="D66" s="73">
        <v>171000</v>
      </c>
      <c r="E66" s="73">
        <f t="shared" si="5"/>
        <v>0</v>
      </c>
      <c r="F66" s="73">
        <v>171000</v>
      </c>
      <c r="G66" s="127">
        <f t="shared" si="1"/>
        <v>100</v>
      </c>
      <c r="H66" s="341">
        <f t="shared" si="3"/>
        <v>0.6896532345980699</v>
      </c>
      <c r="I66" s="122"/>
      <c r="J66" s="1"/>
    </row>
    <row r="67" spans="1:10" ht="14.25" customHeight="1">
      <c r="A67" s="128">
        <v>722583</v>
      </c>
      <c r="B67" s="71"/>
      <c r="C67" s="77" t="s">
        <v>553</v>
      </c>
      <c r="D67" s="73">
        <v>1600</v>
      </c>
      <c r="E67" s="73">
        <f t="shared" si="5"/>
        <v>0</v>
      </c>
      <c r="F67" s="73">
        <v>1600</v>
      </c>
      <c r="G67" s="127">
        <f t="shared" si="1"/>
        <v>100</v>
      </c>
      <c r="H67" s="341">
        <f t="shared" si="3"/>
        <v>0.006452895762321123</v>
      </c>
      <c r="I67" s="122"/>
      <c r="J67" s="1"/>
    </row>
    <row r="68" spans="1:10" ht="14.25" customHeight="1">
      <c r="A68" s="128">
        <v>722589</v>
      </c>
      <c r="B68" s="71"/>
      <c r="C68" s="77" t="s">
        <v>554</v>
      </c>
      <c r="D68" s="73">
        <v>6500</v>
      </c>
      <c r="E68" s="73">
        <f t="shared" si="5"/>
        <v>0</v>
      </c>
      <c r="F68" s="73">
        <v>6500</v>
      </c>
      <c r="G68" s="127">
        <f t="shared" si="1"/>
        <v>100</v>
      </c>
      <c r="H68" s="341">
        <f t="shared" si="3"/>
        <v>0.02621488903442956</v>
      </c>
      <c r="I68" s="122"/>
      <c r="J68" s="1"/>
    </row>
    <row r="69" spans="1:10" ht="20.25" customHeight="1">
      <c r="A69" s="128"/>
      <c r="B69" s="71"/>
      <c r="C69" s="76" t="s">
        <v>602</v>
      </c>
      <c r="D69" s="86">
        <f>SUM(D70:D76)</f>
        <v>309900</v>
      </c>
      <c r="E69" s="86">
        <f>SUM(E70:E76)</f>
        <v>-13500</v>
      </c>
      <c r="F69" s="86">
        <f>SUM(F70:F76)</f>
        <v>296400</v>
      </c>
      <c r="G69" s="86">
        <f t="shared" si="1"/>
        <v>95.64375605033882</v>
      </c>
      <c r="H69" s="87">
        <f aca="true" t="shared" si="6" ref="H69:H100">F69/$F$113*100</f>
        <v>1.1953989399699878</v>
      </c>
      <c r="I69" s="122"/>
      <c r="J69" s="1"/>
    </row>
    <row r="70" spans="1:10" ht="14.25" customHeight="1">
      <c r="A70" s="70">
        <v>722591</v>
      </c>
      <c r="B70" s="71"/>
      <c r="C70" s="78" t="s">
        <v>376</v>
      </c>
      <c r="D70" s="73">
        <v>50000</v>
      </c>
      <c r="E70" s="73">
        <f>F70-D70</f>
        <v>-13500</v>
      </c>
      <c r="F70" s="73">
        <v>36500</v>
      </c>
      <c r="G70" s="127">
        <f t="shared" si="1"/>
        <v>73</v>
      </c>
      <c r="H70" s="341">
        <f t="shared" si="6"/>
        <v>0.1472066845779506</v>
      </c>
      <c r="I70" s="122"/>
      <c r="J70" s="1"/>
    </row>
    <row r="71" spans="1:10" ht="14.25" customHeight="1">
      <c r="A71" s="70">
        <v>722591</v>
      </c>
      <c r="B71" s="71"/>
      <c r="C71" s="78" t="s">
        <v>378</v>
      </c>
      <c r="D71" s="73">
        <v>230000</v>
      </c>
      <c r="E71" s="73">
        <f aca="true" t="shared" si="7" ref="E71:E76">F71-D71</f>
        <v>0</v>
      </c>
      <c r="F71" s="73">
        <v>230000</v>
      </c>
      <c r="G71" s="127">
        <f aca="true" t="shared" si="8" ref="G71:G113">F71/D71*100</f>
        <v>100</v>
      </c>
      <c r="H71" s="341">
        <f t="shared" si="6"/>
        <v>0.9276037658336613</v>
      </c>
      <c r="I71" s="122"/>
      <c r="J71" s="1"/>
    </row>
    <row r="72" spans="1:10" ht="14.25" customHeight="1">
      <c r="A72" s="70">
        <v>722591</v>
      </c>
      <c r="B72" s="71"/>
      <c r="C72" s="78" t="s">
        <v>239</v>
      </c>
      <c r="D72" s="73">
        <v>7000</v>
      </c>
      <c r="E72" s="73">
        <f t="shared" si="7"/>
        <v>0</v>
      </c>
      <c r="F72" s="73">
        <v>7000</v>
      </c>
      <c r="G72" s="127">
        <f t="shared" si="8"/>
        <v>100</v>
      </c>
      <c r="H72" s="341">
        <f t="shared" si="6"/>
        <v>0.02823141896015491</v>
      </c>
      <c r="I72" s="122"/>
      <c r="J72" s="1"/>
    </row>
    <row r="73" spans="1:10" ht="14.25" customHeight="1">
      <c r="A73" s="70">
        <v>722591</v>
      </c>
      <c r="B73" s="71"/>
      <c r="C73" s="77" t="s">
        <v>235</v>
      </c>
      <c r="D73" s="73">
        <v>18000</v>
      </c>
      <c r="E73" s="73">
        <f t="shared" si="7"/>
        <v>0</v>
      </c>
      <c r="F73" s="73">
        <v>18000</v>
      </c>
      <c r="G73" s="127">
        <f t="shared" si="8"/>
        <v>100</v>
      </c>
      <c r="H73" s="341">
        <f t="shared" si="6"/>
        <v>0.07259507732611263</v>
      </c>
      <c r="I73" s="122"/>
      <c r="J73" s="1"/>
    </row>
    <row r="74" spans="1:10" ht="14.25" customHeight="1">
      <c r="A74" s="70">
        <v>722591</v>
      </c>
      <c r="B74" s="71"/>
      <c r="C74" s="78" t="s">
        <v>377</v>
      </c>
      <c r="D74" s="73">
        <v>2000</v>
      </c>
      <c r="E74" s="73">
        <f t="shared" si="7"/>
        <v>0</v>
      </c>
      <c r="F74" s="73">
        <v>2000</v>
      </c>
      <c r="G74" s="127">
        <f t="shared" si="8"/>
        <v>100</v>
      </c>
      <c r="H74" s="341">
        <f t="shared" si="6"/>
        <v>0.008066119702901402</v>
      </c>
      <c r="I74" s="122"/>
      <c r="J74" s="1"/>
    </row>
    <row r="75" spans="1:10" ht="14.25" customHeight="1">
      <c r="A75" s="70">
        <v>722591</v>
      </c>
      <c r="B75" s="71"/>
      <c r="C75" s="77" t="s">
        <v>379</v>
      </c>
      <c r="D75" s="73">
        <v>1400</v>
      </c>
      <c r="E75" s="73">
        <f t="shared" si="7"/>
        <v>0</v>
      </c>
      <c r="F75" s="73">
        <v>1400</v>
      </c>
      <c r="G75" s="127">
        <f t="shared" si="8"/>
        <v>100</v>
      </c>
      <c r="H75" s="341">
        <f t="shared" si="6"/>
        <v>0.005646283792030982</v>
      </c>
      <c r="I75" s="122"/>
      <c r="J75" s="1"/>
    </row>
    <row r="76" spans="1:10" ht="14.25" customHeight="1">
      <c r="A76" s="70">
        <v>722591</v>
      </c>
      <c r="B76" s="71"/>
      <c r="C76" s="77" t="s">
        <v>359</v>
      </c>
      <c r="D76" s="73">
        <v>1500</v>
      </c>
      <c r="E76" s="73">
        <f t="shared" si="7"/>
        <v>0</v>
      </c>
      <c r="F76" s="73">
        <v>1500</v>
      </c>
      <c r="G76" s="127">
        <f t="shared" si="8"/>
        <v>100</v>
      </c>
      <c r="H76" s="341">
        <f t="shared" si="6"/>
        <v>0.006049589777176052</v>
      </c>
      <c r="I76" s="122"/>
      <c r="J76" s="1"/>
    </row>
    <row r="77" spans="1:10" ht="14.25" customHeight="1">
      <c r="A77" s="56">
        <v>723000</v>
      </c>
      <c r="B77" s="57"/>
      <c r="C77" s="91" t="s">
        <v>19</v>
      </c>
      <c r="D77" s="92">
        <f>D78</f>
        <v>40000</v>
      </c>
      <c r="E77" s="92">
        <f>E78</f>
        <v>900</v>
      </c>
      <c r="F77" s="92">
        <f>F78</f>
        <v>40900</v>
      </c>
      <c r="G77" s="67">
        <f t="shared" si="8"/>
        <v>102.25</v>
      </c>
      <c r="H77" s="69">
        <f t="shared" si="6"/>
        <v>0.1649521479243337</v>
      </c>
      <c r="I77" s="122"/>
      <c r="J77" s="1"/>
    </row>
    <row r="78" spans="1:10" ht="25.5" customHeight="1">
      <c r="A78" s="70">
        <v>723121</v>
      </c>
      <c r="B78" s="71"/>
      <c r="C78" s="77" t="s">
        <v>223</v>
      </c>
      <c r="D78" s="73">
        <v>40000</v>
      </c>
      <c r="E78" s="73">
        <f>F78-D78</f>
        <v>900</v>
      </c>
      <c r="F78" s="127">
        <v>40900</v>
      </c>
      <c r="G78" s="127">
        <f t="shared" si="8"/>
        <v>102.25</v>
      </c>
      <c r="H78" s="341">
        <f t="shared" si="6"/>
        <v>0.1649521479243337</v>
      </c>
      <c r="I78" s="122"/>
      <c r="J78" s="1"/>
    </row>
    <row r="79" spans="1:10" ht="30" customHeight="1">
      <c r="A79" s="388">
        <v>728000</v>
      </c>
      <c r="B79" s="369"/>
      <c r="C79" s="368" t="s">
        <v>557</v>
      </c>
      <c r="D79" s="340">
        <f>SUM(D80:D81)</f>
        <v>33100</v>
      </c>
      <c r="E79" s="340">
        <f>SUM(E80:E81)</f>
        <v>0</v>
      </c>
      <c r="F79" s="340">
        <f>SUM(F80:F81)</f>
        <v>33100</v>
      </c>
      <c r="G79" s="67">
        <f t="shared" si="8"/>
        <v>100</v>
      </c>
      <c r="H79" s="69">
        <f t="shared" si="6"/>
        <v>0.13349428108301822</v>
      </c>
      <c r="I79" s="122"/>
      <c r="J79" s="1"/>
    </row>
    <row r="80" spans="1:10" ht="20.25" customHeight="1">
      <c r="A80" s="128">
        <v>728211</v>
      </c>
      <c r="B80" s="71"/>
      <c r="C80" s="77" t="s">
        <v>603</v>
      </c>
      <c r="D80" s="73">
        <v>30100</v>
      </c>
      <c r="E80" s="73">
        <f>F80-D80</f>
        <v>0</v>
      </c>
      <c r="F80" s="73">
        <v>30100</v>
      </c>
      <c r="G80" s="127">
        <f t="shared" si="8"/>
        <v>100</v>
      </c>
      <c r="H80" s="341">
        <f t="shared" si="6"/>
        <v>0.1213951015286661</v>
      </c>
      <c r="I80" s="122"/>
      <c r="J80" s="1"/>
    </row>
    <row r="81" spans="1:10" ht="29.25" customHeight="1">
      <c r="A81" s="128">
        <v>728251</v>
      </c>
      <c r="B81" s="71"/>
      <c r="C81" s="77" t="s">
        <v>604</v>
      </c>
      <c r="D81" s="73">
        <v>3000</v>
      </c>
      <c r="E81" s="73">
        <f>F81-D81</f>
        <v>0</v>
      </c>
      <c r="F81" s="73">
        <v>3000</v>
      </c>
      <c r="G81" s="127">
        <f t="shared" si="8"/>
        <v>100</v>
      </c>
      <c r="H81" s="341">
        <f t="shared" si="6"/>
        <v>0.012099179554352104</v>
      </c>
      <c r="I81" s="122"/>
      <c r="J81" s="1"/>
    </row>
    <row r="82" spans="1:10" ht="16.5" customHeight="1">
      <c r="A82" s="56">
        <v>729000</v>
      </c>
      <c r="B82" s="57"/>
      <c r="C82" s="76" t="s">
        <v>20</v>
      </c>
      <c r="D82" s="92">
        <f>SUM(D83:D83)</f>
        <v>100000</v>
      </c>
      <c r="E82" s="92">
        <f>SUM(E83:E83)</f>
        <v>234455.40000000002</v>
      </c>
      <c r="F82" s="92">
        <f>SUM(F83:F83)</f>
        <v>334455.4</v>
      </c>
      <c r="G82" s="67">
        <f t="shared" si="8"/>
        <v>334.4554</v>
      </c>
      <c r="H82" s="69">
        <f t="shared" si="6"/>
        <v>1.348878645840885</v>
      </c>
      <c r="I82" s="122"/>
      <c r="J82" s="1"/>
    </row>
    <row r="83" spans="1:10" ht="21.75" customHeight="1">
      <c r="A83" s="70">
        <v>729124</v>
      </c>
      <c r="B83" s="71"/>
      <c r="C83" s="93" t="s">
        <v>375</v>
      </c>
      <c r="D83" s="73">
        <v>100000</v>
      </c>
      <c r="E83" s="73">
        <f>F83-D83</f>
        <v>234455.40000000002</v>
      </c>
      <c r="F83" s="73">
        <v>334455.4</v>
      </c>
      <c r="G83" s="127">
        <f t="shared" si="8"/>
        <v>334.4554</v>
      </c>
      <c r="H83" s="341">
        <f t="shared" si="6"/>
        <v>1.348878645840885</v>
      </c>
      <c r="I83" s="122"/>
      <c r="J83" s="1"/>
    </row>
    <row r="84" spans="1:10" ht="16.5" customHeight="1">
      <c r="A84" s="94">
        <v>730000</v>
      </c>
      <c r="B84" s="95"/>
      <c r="C84" s="96" t="s">
        <v>224</v>
      </c>
      <c r="D84" s="59">
        <f>D85+D88</f>
        <v>0</v>
      </c>
      <c r="E84" s="59">
        <f>E85+E88</f>
        <v>90400</v>
      </c>
      <c r="F84" s="59">
        <f>F85+F88</f>
        <v>90400</v>
      </c>
      <c r="G84" s="60" t="e">
        <f t="shared" si="8"/>
        <v>#DIV/0!</v>
      </c>
      <c r="H84" s="423">
        <f t="shared" si="6"/>
        <v>0.3645886105711434</v>
      </c>
      <c r="I84" s="122"/>
      <c r="J84" s="1"/>
    </row>
    <row r="85" spans="1:10" ht="11.25" customHeight="1" hidden="1">
      <c r="A85" s="89">
        <v>731100</v>
      </c>
      <c r="B85" s="95"/>
      <c r="C85" s="97" t="s">
        <v>413</v>
      </c>
      <c r="D85" s="66">
        <f>SUM(D87:D87)</f>
        <v>0</v>
      </c>
      <c r="E85" s="66">
        <f>SUM(E87:E87)</f>
        <v>0</v>
      </c>
      <c r="F85" s="66">
        <f>SUM(F87:F87)</f>
        <v>0</v>
      </c>
      <c r="G85" s="67" t="e">
        <f t="shared" si="8"/>
        <v>#DIV/0!</v>
      </c>
      <c r="H85" s="69">
        <f t="shared" si="6"/>
        <v>0</v>
      </c>
      <c r="I85" s="122"/>
      <c r="J85" s="1"/>
    </row>
    <row r="86" spans="1:10" ht="25.5" customHeight="1" hidden="1">
      <c r="A86" s="84">
        <v>731120</v>
      </c>
      <c r="B86" s="95"/>
      <c r="C86" s="98" t="s">
        <v>415</v>
      </c>
      <c r="D86" s="99">
        <v>0</v>
      </c>
      <c r="E86" s="99">
        <v>0</v>
      </c>
      <c r="F86" s="99">
        <v>0</v>
      </c>
      <c r="G86" s="60" t="e">
        <f t="shared" si="8"/>
        <v>#DIV/0!</v>
      </c>
      <c r="H86" s="55">
        <f t="shared" si="6"/>
        <v>0</v>
      </c>
      <c r="I86" s="122"/>
      <c r="J86" s="1"/>
    </row>
    <row r="87" spans="1:10" ht="23.25" customHeight="1" hidden="1">
      <c r="A87" s="128">
        <v>731110</v>
      </c>
      <c r="B87" s="129"/>
      <c r="C87" s="130" t="s">
        <v>458</v>
      </c>
      <c r="D87" s="99">
        <v>0</v>
      </c>
      <c r="E87" s="99">
        <v>0</v>
      </c>
      <c r="F87" s="99">
        <v>0</v>
      </c>
      <c r="G87" s="60" t="e">
        <f t="shared" si="8"/>
        <v>#DIV/0!</v>
      </c>
      <c r="H87" s="55">
        <f t="shared" si="6"/>
        <v>0</v>
      </c>
      <c r="I87" s="122"/>
      <c r="J87" s="1"/>
    </row>
    <row r="88" spans="1:10" ht="18" customHeight="1">
      <c r="A88" s="89">
        <v>731200</v>
      </c>
      <c r="B88" s="90"/>
      <c r="C88" s="97" t="s">
        <v>171</v>
      </c>
      <c r="D88" s="66">
        <f>SUM(D89:D90)</f>
        <v>0</v>
      </c>
      <c r="E88" s="66">
        <f>SUM(E89:E90)</f>
        <v>90400</v>
      </c>
      <c r="F88" s="66">
        <f>SUM(F89:F90)</f>
        <v>90400</v>
      </c>
      <c r="G88" s="67" t="e">
        <f t="shared" si="8"/>
        <v>#DIV/0!</v>
      </c>
      <c r="H88" s="69">
        <f t="shared" si="6"/>
        <v>0.3645886105711434</v>
      </c>
      <c r="I88" s="122"/>
      <c r="J88" s="1"/>
    </row>
    <row r="89" spans="1:10" ht="39.75" customHeight="1">
      <c r="A89" s="84">
        <v>731220</v>
      </c>
      <c r="B89" s="102"/>
      <c r="C89" s="98" t="s">
        <v>676</v>
      </c>
      <c r="D89" s="99">
        <v>0</v>
      </c>
      <c r="E89" s="99">
        <f>F89-D89</f>
        <v>90000</v>
      </c>
      <c r="F89" s="73">
        <v>90000</v>
      </c>
      <c r="G89" s="127" t="e">
        <f t="shared" si="8"/>
        <v>#DIV/0!</v>
      </c>
      <c r="H89" s="341">
        <f t="shared" si="6"/>
        <v>0.3629753866305631</v>
      </c>
      <c r="I89" s="122"/>
      <c r="J89" s="1"/>
    </row>
    <row r="90" spans="1:10" ht="27.75" customHeight="1">
      <c r="A90" s="70">
        <v>731200</v>
      </c>
      <c r="B90" s="71"/>
      <c r="C90" s="80" t="s">
        <v>675</v>
      </c>
      <c r="D90" s="73">
        <v>0</v>
      </c>
      <c r="E90" s="99">
        <f>F90-D90</f>
        <v>400</v>
      </c>
      <c r="F90" s="73">
        <v>400</v>
      </c>
      <c r="G90" s="127" t="e">
        <f t="shared" si="8"/>
        <v>#DIV/0!</v>
      </c>
      <c r="H90" s="341">
        <f t="shared" si="6"/>
        <v>0.0016132239405802808</v>
      </c>
      <c r="I90" s="122"/>
      <c r="J90" s="1"/>
    </row>
    <row r="91" spans="1:10" s="2" customFormat="1" ht="19.5" customHeight="1">
      <c r="A91" s="94">
        <v>780000</v>
      </c>
      <c r="B91" s="95"/>
      <c r="C91" s="103" t="s">
        <v>306</v>
      </c>
      <c r="D91" s="59">
        <f>D92+D102</f>
        <v>1501900</v>
      </c>
      <c r="E91" s="59">
        <f>E92+E102</f>
        <v>190472.89</v>
      </c>
      <c r="F91" s="59">
        <f>F92+F102</f>
        <v>1692372.89</v>
      </c>
      <c r="G91" s="60">
        <f t="shared" si="8"/>
        <v>112.6821286370597</v>
      </c>
      <c r="H91" s="173">
        <f t="shared" si="6"/>
        <v>6.825441156342594</v>
      </c>
      <c r="I91" s="122"/>
      <c r="J91" s="1"/>
    </row>
    <row r="92" spans="1:10" s="2" customFormat="1" ht="27.75" customHeight="1">
      <c r="A92" s="56">
        <v>787000</v>
      </c>
      <c r="B92" s="57"/>
      <c r="C92" s="91" t="s">
        <v>320</v>
      </c>
      <c r="D92" s="66">
        <f>SUM(D93:D101)</f>
        <v>1501900</v>
      </c>
      <c r="E92" s="66">
        <f>SUM(E93:E101)</f>
        <v>135472.89</v>
      </c>
      <c r="F92" s="66">
        <f>SUM(F93:F101)</f>
        <v>1637372.89</v>
      </c>
      <c r="G92" s="67">
        <f t="shared" si="8"/>
        <v>109.02010053931686</v>
      </c>
      <c r="H92" s="69">
        <f t="shared" si="6"/>
        <v>6.603622864512805</v>
      </c>
      <c r="I92" s="122"/>
      <c r="J92" s="1"/>
    </row>
    <row r="93" spans="1:10" s="2" customFormat="1" ht="25.5" customHeight="1">
      <c r="A93" s="81">
        <v>787200</v>
      </c>
      <c r="B93" s="82"/>
      <c r="C93" s="171" t="s">
        <v>225</v>
      </c>
      <c r="D93" s="73">
        <f>1151000-66000</f>
        <v>1085000</v>
      </c>
      <c r="E93" s="73">
        <f>F93-D93</f>
        <v>60000</v>
      </c>
      <c r="F93" s="73">
        <v>1145000</v>
      </c>
      <c r="G93" s="127">
        <f t="shared" si="8"/>
        <v>105.52995391705069</v>
      </c>
      <c r="H93" s="341">
        <f t="shared" si="6"/>
        <v>4.617853529911054</v>
      </c>
      <c r="I93" s="122"/>
      <c r="J93" s="1"/>
    </row>
    <row r="94" spans="1:12" s="2" customFormat="1" ht="39.75" customHeight="1">
      <c r="A94" s="81">
        <v>787200</v>
      </c>
      <c r="B94" s="82"/>
      <c r="C94" s="171" t="s">
        <v>342</v>
      </c>
      <c r="D94" s="73">
        <v>16000</v>
      </c>
      <c r="E94" s="73">
        <f aca="true" t="shared" si="9" ref="E94:E101">F94-D94</f>
        <v>3500</v>
      </c>
      <c r="F94" s="73">
        <v>19500</v>
      </c>
      <c r="G94" s="127">
        <f t="shared" si="8"/>
        <v>121.875</v>
      </c>
      <c r="H94" s="341">
        <f t="shared" si="6"/>
        <v>0.07864466710328868</v>
      </c>
      <c r="I94" s="122"/>
      <c r="J94" s="1"/>
      <c r="L94" s="400"/>
    </row>
    <row r="95" spans="1:14" s="2" customFormat="1" ht="25.5" customHeight="1">
      <c r="A95" s="81">
        <v>787200</v>
      </c>
      <c r="B95" s="82"/>
      <c r="C95" s="171" t="s">
        <v>414</v>
      </c>
      <c r="D95" s="73">
        <v>4910</v>
      </c>
      <c r="E95" s="73">
        <f t="shared" si="9"/>
        <v>0</v>
      </c>
      <c r="F95" s="73">
        <v>4910</v>
      </c>
      <c r="G95" s="127">
        <f t="shared" si="8"/>
        <v>100</v>
      </c>
      <c r="H95" s="341">
        <f t="shared" si="6"/>
        <v>0.019802323870622945</v>
      </c>
      <c r="I95" s="122"/>
      <c r="J95" s="1"/>
      <c r="L95" s="400"/>
      <c r="N95" s="401"/>
    </row>
    <row r="96" spans="1:12" s="2" customFormat="1" ht="23.25" customHeight="1">
      <c r="A96" s="81">
        <v>787200</v>
      </c>
      <c r="B96" s="82"/>
      <c r="C96" s="171" t="s">
        <v>429</v>
      </c>
      <c r="D96" s="73">
        <v>390000</v>
      </c>
      <c r="E96" s="73">
        <f t="shared" si="9"/>
        <v>53000</v>
      </c>
      <c r="F96" s="73">
        <v>443000</v>
      </c>
      <c r="G96" s="127">
        <f t="shared" si="8"/>
        <v>113.58974358974359</v>
      </c>
      <c r="H96" s="341">
        <f t="shared" si="6"/>
        <v>1.7866455141926605</v>
      </c>
      <c r="I96" s="122"/>
      <c r="J96" s="1"/>
      <c r="L96" s="400"/>
    </row>
    <row r="97" spans="1:10" s="2" customFormat="1" ht="36.75" customHeight="1">
      <c r="A97" s="81">
        <v>787200</v>
      </c>
      <c r="B97" s="82"/>
      <c r="C97" s="80" t="s">
        <v>672</v>
      </c>
      <c r="D97" s="73">
        <v>0</v>
      </c>
      <c r="E97" s="73">
        <f t="shared" si="9"/>
        <v>14580</v>
      </c>
      <c r="F97" s="73">
        <v>14580</v>
      </c>
      <c r="G97" s="127" t="e">
        <f t="shared" si="8"/>
        <v>#DIV/0!</v>
      </c>
      <c r="H97" s="341">
        <f t="shared" si="6"/>
        <v>0.05880201263415123</v>
      </c>
      <c r="I97" s="122"/>
      <c r="J97" s="1"/>
    </row>
    <row r="98" spans="1:10" s="2" customFormat="1" ht="36.75" customHeight="1">
      <c r="A98" s="81">
        <v>787200</v>
      </c>
      <c r="B98" s="82"/>
      <c r="C98" s="80" t="s">
        <v>674</v>
      </c>
      <c r="D98" s="73">
        <v>0</v>
      </c>
      <c r="E98" s="73">
        <f t="shared" si="9"/>
        <v>2142.89</v>
      </c>
      <c r="F98" s="73">
        <v>2142.89</v>
      </c>
      <c r="G98" s="127" t="e">
        <f t="shared" si="8"/>
        <v>#DIV/0!</v>
      </c>
      <c r="H98" s="341">
        <f t="shared" si="6"/>
        <v>0.008642403625075193</v>
      </c>
      <c r="I98" s="122"/>
      <c r="J98" s="1"/>
    </row>
    <row r="99" spans="1:10" s="2" customFormat="1" ht="24" customHeight="1">
      <c r="A99" s="81">
        <v>787200</v>
      </c>
      <c r="B99" s="82"/>
      <c r="C99" s="80" t="s">
        <v>365</v>
      </c>
      <c r="D99" s="73">
        <v>5000</v>
      </c>
      <c r="E99" s="73">
        <f t="shared" si="9"/>
        <v>500</v>
      </c>
      <c r="F99" s="73">
        <v>5500</v>
      </c>
      <c r="G99" s="127">
        <f t="shared" si="8"/>
        <v>110.00000000000001</v>
      </c>
      <c r="H99" s="341">
        <f t="shared" si="6"/>
        <v>0.022181829182978858</v>
      </c>
      <c r="I99" s="122"/>
      <c r="J99" s="1"/>
    </row>
    <row r="100" spans="1:10" s="2" customFormat="1" ht="24" customHeight="1">
      <c r="A100" s="81">
        <v>787300</v>
      </c>
      <c r="B100" s="82"/>
      <c r="C100" s="80" t="s">
        <v>374</v>
      </c>
      <c r="D100" s="73">
        <v>690</v>
      </c>
      <c r="E100" s="73">
        <f t="shared" si="9"/>
        <v>400</v>
      </c>
      <c r="F100" s="73">
        <v>1090</v>
      </c>
      <c r="G100" s="127">
        <f t="shared" si="8"/>
        <v>157.97101449275362</v>
      </c>
      <c r="H100" s="341">
        <f t="shared" si="6"/>
        <v>0.004396035238081264</v>
      </c>
      <c r="I100" s="122"/>
      <c r="J100" s="1"/>
    </row>
    <row r="101" spans="1:10" s="2" customFormat="1" ht="33" customHeight="1">
      <c r="A101" s="426">
        <v>787400</v>
      </c>
      <c r="B101" s="82"/>
      <c r="C101" s="80" t="s">
        <v>390</v>
      </c>
      <c r="D101" s="73">
        <v>300</v>
      </c>
      <c r="E101" s="73">
        <f t="shared" si="9"/>
        <v>1350</v>
      </c>
      <c r="F101" s="73">
        <v>1650</v>
      </c>
      <c r="G101" s="127">
        <f t="shared" si="8"/>
        <v>550</v>
      </c>
      <c r="H101" s="341">
        <f aca="true" t="shared" si="10" ref="H101:H113">F101/$F$113*100</f>
        <v>0.006654548754893658</v>
      </c>
      <c r="I101" s="122"/>
      <c r="J101" s="1"/>
    </row>
    <row r="102" spans="1:10" s="2" customFormat="1" ht="16.5" customHeight="1">
      <c r="A102" s="131">
        <v>788000</v>
      </c>
      <c r="B102" s="132"/>
      <c r="C102" s="133" t="s">
        <v>459</v>
      </c>
      <c r="D102" s="66">
        <f>SUM(D103)</f>
        <v>0</v>
      </c>
      <c r="E102" s="66">
        <f>SUM(E103)</f>
        <v>55000</v>
      </c>
      <c r="F102" s="66">
        <f>SUM(F103)</f>
        <v>55000</v>
      </c>
      <c r="G102" s="67" t="e">
        <f t="shared" si="8"/>
        <v>#DIV/0!</v>
      </c>
      <c r="H102" s="55">
        <f t="shared" si="10"/>
        <v>0.22181829182978857</v>
      </c>
      <c r="I102" s="122"/>
      <c r="J102" s="1"/>
    </row>
    <row r="103" spans="1:10" s="2" customFormat="1" ht="21.75" customHeight="1">
      <c r="A103" s="81">
        <v>788100</v>
      </c>
      <c r="B103" s="82"/>
      <c r="C103" s="80" t="s">
        <v>688</v>
      </c>
      <c r="D103" s="73">
        <v>0</v>
      </c>
      <c r="E103" s="73">
        <f>F103-D103</f>
        <v>55000</v>
      </c>
      <c r="F103" s="73">
        <v>55000</v>
      </c>
      <c r="G103" s="127" t="e">
        <f t="shared" si="8"/>
        <v>#DIV/0!</v>
      </c>
      <c r="H103" s="341">
        <f t="shared" si="10"/>
        <v>0.22181829182978857</v>
      </c>
      <c r="I103" s="122"/>
      <c r="J103" s="1"/>
    </row>
    <row r="104" spans="1:10" ht="27" customHeight="1">
      <c r="A104" s="56">
        <v>810000</v>
      </c>
      <c r="B104" s="18"/>
      <c r="C104" s="104" t="s">
        <v>262</v>
      </c>
      <c r="D104" s="53">
        <f>D105+D107+D109+D111</f>
        <v>595000</v>
      </c>
      <c r="E104" s="53">
        <f>E105+E107+E109+E111</f>
        <v>424.6</v>
      </c>
      <c r="F104" s="53">
        <f>F105+F107+F109+F111</f>
        <v>595424.6</v>
      </c>
      <c r="G104" s="424">
        <f t="shared" si="8"/>
        <v>100.0713613445378</v>
      </c>
      <c r="H104" s="55">
        <f t="shared" si="10"/>
        <v>2.401383048826093</v>
      </c>
      <c r="I104" s="122"/>
      <c r="J104" s="1"/>
    </row>
    <row r="105" spans="1:10" ht="0.75" customHeight="1" hidden="1">
      <c r="A105" s="56">
        <v>811000</v>
      </c>
      <c r="B105" s="57"/>
      <c r="C105" s="91" t="s">
        <v>170</v>
      </c>
      <c r="D105" s="66">
        <f>SUM(D106:D106)</f>
        <v>0</v>
      </c>
      <c r="E105" s="66">
        <f>SUM(E106:E106)</f>
        <v>0</v>
      </c>
      <c r="F105" s="66">
        <f>SUM(F106:F106)</f>
        <v>0</v>
      </c>
      <c r="G105" s="60" t="e">
        <f t="shared" si="8"/>
        <v>#DIV/0!</v>
      </c>
      <c r="H105" s="55">
        <f t="shared" si="10"/>
        <v>0</v>
      </c>
      <c r="I105" s="122"/>
      <c r="J105" s="1"/>
    </row>
    <row r="106" spans="1:10" ht="18.75" customHeight="1" hidden="1">
      <c r="A106" s="70">
        <v>811110</v>
      </c>
      <c r="B106" s="105" t="s">
        <v>23</v>
      </c>
      <c r="C106" s="80" t="s">
        <v>490</v>
      </c>
      <c r="D106" s="73">
        <v>0</v>
      </c>
      <c r="E106" s="73">
        <v>0</v>
      </c>
      <c r="F106" s="73">
        <v>0</v>
      </c>
      <c r="G106" s="60" t="e">
        <f t="shared" si="8"/>
        <v>#DIV/0!</v>
      </c>
      <c r="H106" s="55">
        <f t="shared" si="10"/>
        <v>0</v>
      </c>
      <c r="I106" s="122"/>
      <c r="J106" s="1"/>
    </row>
    <row r="107" spans="1:10" ht="18" customHeight="1">
      <c r="A107" s="56">
        <v>813000</v>
      </c>
      <c r="B107" s="57"/>
      <c r="C107" s="91" t="s">
        <v>157</v>
      </c>
      <c r="D107" s="66">
        <f>SUM(D108:D108)</f>
        <v>557000</v>
      </c>
      <c r="E107" s="66">
        <f>SUM(E108:E108)</f>
        <v>0</v>
      </c>
      <c r="F107" s="66">
        <f>SUM(F108:F108)</f>
        <v>557000</v>
      </c>
      <c r="G107" s="67">
        <f t="shared" si="8"/>
        <v>100</v>
      </c>
      <c r="H107" s="69">
        <f t="shared" si="10"/>
        <v>2.2464143372580407</v>
      </c>
      <c r="I107" s="122"/>
      <c r="J107" s="1"/>
    </row>
    <row r="108" spans="1:9" ht="14.25" customHeight="1">
      <c r="A108" s="70">
        <v>813110</v>
      </c>
      <c r="B108" s="105" t="s">
        <v>23</v>
      </c>
      <c r="C108" s="80" t="s">
        <v>158</v>
      </c>
      <c r="D108" s="73">
        <v>557000</v>
      </c>
      <c r="E108" s="73">
        <f>F108-D108</f>
        <v>0</v>
      </c>
      <c r="F108" s="73">
        <v>557000</v>
      </c>
      <c r="G108" s="127">
        <f t="shared" si="8"/>
        <v>100</v>
      </c>
      <c r="H108" s="341">
        <f t="shared" si="10"/>
        <v>2.2464143372580407</v>
      </c>
      <c r="I108" s="122"/>
    </row>
    <row r="109" spans="1:9" ht="27" customHeight="1">
      <c r="A109" s="455">
        <v>814000</v>
      </c>
      <c r="B109" s="105"/>
      <c r="C109" s="133" t="s">
        <v>680</v>
      </c>
      <c r="D109" s="370">
        <f>SUM(D110)</f>
        <v>0</v>
      </c>
      <c r="E109" s="370">
        <f>SUM(E110)</f>
        <v>424.6</v>
      </c>
      <c r="F109" s="370">
        <f>SUM(F110)</f>
        <v>424.6</v>
      </c>
      <c r="G109" s="370" t="e">
        <f t="shared" si="8"/>
        <v>#DIV/0!</v>
      </c>
      <c r="H109" s="457">
        <f t="shared" si="10"/>
        <v>0.001712437212925968</v>
      </c>
      <c r="I109" s="122"/>
    </row>
    <row r="110" spans="1:9" ht="18" customHeight="1">
      <c r="A110" s="453">
        <v>814112</v>
      </c>
      <c r="B110" s="105" t="s">
        <v>31</v>
      </c>
      <c r="C110" s="456" t="s">
        <v>681</v>
      </c>
      <c r="D110" s="73">
        <v>0</v>
      </c>
      <c r="E110" s="73">
        <f>F110-D110</f>
        <v>424.6</v>
      </c>
      <c r="F110" s="73">
        <v>424.6</v>
      </c>
      <c r="G110" s="127" t="e">
        <f t="shared" si="8"/>
        <v>#DIV/0!</v>
      </c>
      <c r="H110" s="341">
        <f t="shared" si="10"/>
        <v>0.001712437212925968</v>
      </c>
      <c r="I110" s="122"/>
    </row>
    <row r="111" spans="1:10" ht="37.5" customHeight="1">
      <c r="A111" s="56">
        <v>816000</v>
      </c>
      <c r="B111" s="57"/>
      <c r="C111" s="91" t="s">
        <v>250</v>
      </c>
      <c r="D111" s="66">
        <f>SUM(D112)</f>
        <v>38000</v>
      </c>
      <c r="E111" s="66">
        <f>SUM(E112)</f>
        <v>0</v>
      </c>
      <c r="F111" s="66">
        <f>SUM(F112)</f>
        <v>38000</v>
      </c>
      <c r="G111" s="67">
        <f t="shared" si="8"/>
        <v>100</v>
      </c>
      <c r="H111" s="69">
        <f t="shared" si="10"/>
        <v>0.15325627435512665</v>
      </c>
      <c r="I111" s="122"/>
      <c r="J111" s="1"/>
    </row>
    <row r="112" spans="1:10" ht="15" customHeight="1">
      <c r="A112" s="81">
        <v>816150</v>
      </c>
      <c r="B112" s="105" t="s">
        <v>31</v>
      </c>
      <c r="C112" s="80" t="s">
        <v>163</v>
      </c>
      <c r="D112" s="73">
        <v>38000</v>
      </c>
      <c r="E112" s="73">
        <f>F112-D112</f>
        <v>0</v>
      </c>
      <c r="F112" s="73">
        <v>38000</v>
      </c>
      <c r="G112" s="127">
        <f t="shared" si="8"/>
        <v>100</v>
      </c>
      <c r="H112" s="341">
        <f t="shared" si="10"/>
        <v>0.15325627435512665</v>
      </c>
      <c r="I112" s="122"/>
      <c r="J112" s="1"/>
    </row>
    <row r="113" spans="1:10" ht="29.25" customHeight="1" thickBot="1">
      <c r="A113" s="386"/>
      <c r="B113" s="106"/>
      <c r="C113" s="107" t="s">
        <v>263</v>
      </c>
      <c r="D113" s="108">
        <f>D5+D104</f>
        <v>22221300</v>
      </c>
      <c r="E113" s="108">
        <f>E5+E104</f>
        <v>2573769.6700000004</v>
      </c>
      <c r="F113" s="108">
        <f>F5+F104</f>
        <v>24795069.67</v>
      </c>
      <c r="G113" s="425">
        <f t="shared" si="8"/>
        <v>111.58244418643375</v>
      </c>
      <c r="H113" s="110">
        <f t="shared" si="10"/>
        <v>100</v>
      </c>
      <c r="I113" s="122"/>
      <c r="J113" s="1"/>
    </row>
    <row r="114" spans="1:10" ht="15.75" customHeight="1" thickTop="1">
      <c r="A114" s="26"/>
      <c r="B114" s="26"/>
      <c r="C114" s="32"/>
      <c r="D114" s="31"/>
      <c r="E114" s="31"/>
      <c r="F114" s="31"/>
      <c r="G114" s="31"/>
      <c r="H114"/>
      <c r="J114" s="1"/>
    </row>
    <row r="115" spans="1:7" s="24" customFormat="1" ht="6" customHeight="1" hidden="1">
      <c r="A115" s="4"/>
      <c r="B115" s="4"/>
      <c r="C115" s="3"/>
      <c r="D115" s="26"/>
      <c r="E115" s="26" t="s">
        <v>691</v>
      </c>
      <c r="F115" s="26">
        <f>F8+F10+F11+F13+F15+F19+F21+F25+F26+F27+F28+F30+F34+F36+F37+F38+F39+F40+F41+F42+F43+F45+F46+F47+F48+F49+F50+F51+F52+F53+F56+F58+F59+F60+F61+F62+F63+F64+F65+F66+F67+F68+F70+F71+F72+F73+F74+F75+F76+F78+F80+F81+F83+F89+F90+F93+F94+F95+F96+F97+F98+F99+F100+F101+F103+F108+F110+F112</f>
        <v>24795069.67</v>
      </c>
      <c r="G115" s="26"/>
    </row>
    <row r="116" spans="1:7" s="24" customFormat="1" ht="12.75" hidden="1">
      <c r="A116" s="4"/>
      <c r="B116" s="4"/>
      <c r="C116" s="3"/>
      <c r="D116" s="26"/>
      <c r="E116" s="26" t="s">
        <v>692</v>
      </c>
      <c r="F116" s="26">
        <f>Finansiranje!D51</f>
        <v>5664930.33</v>
      </c>
      <c r="G116" s="26"/>
    </row>
    <row r="117" spans="1:7" s="24" customFormat="1" ht="12.75" hidden="1">
      <c r="A117" s="4"/>
      <c r="B117" s="4"/>
      <c r="C117" s="3"/>
      <c r="D117" s="26"/>
      <c r="E117" s="26" t="s">
        <v>693</v>
      </c>
      <c r="F117" s="26">
        <f>SUM(F115:F116)</f>
        <v>30460000</v>
      </c>
      <c r="G117" s="26"/>
    </row>
    <row r="118" spans="1:7" s="24" customFormat="1" ht="3" customHeight="1">
      <c r="A118" s="4"/>
      <c r="B118" s="4"/>
      <c r="C118" s="3"/>
      <c r="D118" s="26"/>
      <c r="E118" s="26"/>
      <c r="F118" s="26"/>
      <c r="G118" s="26"/>
    </row>
    <row r="119" spans="1:7" s="24" customFormat="1" ht="12.75" hidden="1">
      <c r="A119" s="4"/>
      <c r="B119" s="4"/>
      <c r="C119" s="3"/>
      <c r="D119" s="26"/>
      <c r="E119" s="26"/>
      <c r="F119" s="26">
        <f>F8+F10+F11+F13+F15+F19+F21+F25+F26+F27+F28+F30+F34+F36+F37+F38+F39+F40+F41+F42+F43+F45+F46+F47+F48+F49+F50+F51+F52+F53+F56+F58+F59+F60+F61+F62+F63+F64+F65+F66+F67+F68+F70+F71+F72+F73+F74+F75+F76+F78+F80+F81+F83+F89+F90+F93+F94+F95+F96+F97+F98+F99+F100+F101+F103+F108+F110+F112</f>
        <v>24795069.67</v>
      </c>
      <c r="G119" s="26"/>
    </row>
    <row r="120" spans="1:7" s="24" customFormat="1" ht="12.75" hidden="1">
      <c r="A120" s="4"/>
      <c r="B120" s="4"/>
      <c r="C120"/>
      <c r="D120" s="26"/>
      <c r="E120" s="26"/>
      <c r="F120" s="26">
        <f>Finansiranje!E8+Finansiranje!E13+Finansiranje!E23+Finansiranje!E24+Finansiranje!E26+Finansiranje!E27+Finansiranje!E40+Finansiranje!E41+Finansiranje!E42+Finansiranje!E46+Finansiranje!E47+Finansiranje!E48</f>
        <v>5664930.33</v>
      </c>
      <c r="G120" s="26"/>
    </row>
    <row r="121" ht="12.75" hidden="1">
      <c r="F121" s="26">
        <f>F119+F120</f>
        <v>30460000</v>
      </c>
    </row>
  </sheetData>
  <sheetProtection/>
  <mergeCells count="10">
    <mergeCell ref="F2:F3"/>
    <mergeCell ref="I2:I3"/>
    <mergeCell ref="D2:D3"/>
    <mergeCell ref="A1:H1"/>
    <mergeCell ref="A2:A3"/>
    <mergeCell ref="C2:C3"/>
    <mergeCell ref="B2:B3"/>
    <mergeCell ref="G2:G3"/>
    <mergeCell ref="H2:H3"/>
    <mergeCell ref="E2:E3"/>
  </mergeCells>
  <printOptions horizontalCentered="1"/>
  <pageMargins left="0.15748031496062992" right="0.15748031496062992" top="0.3937007874015748" bottom="0.4724409448818898" header="0.2362204724409449" footer="0.2362204724409449"/>
  <pageSetup horizontalDpi="600" verticalDpi="600" orientation="landscape" paperSize="9" scale="95" r:id="rId1"/>
  <headerFooter alignWithMargins="0">
    <oddFooter>&amp;R&amp;P</oddFooter>
  </headerFooter>
  <rowBreaks count="5" manualBreakCount="5">
    <brk id="38" max="7" man="1"/>
    <brk id="63" max="7" man="1"/>
    <brk id="90" max="7" man="1"/>
    <brk id="110" max="7" man="1"/>
    <brk id="113" max="8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SheetLayoutView="70" workbookViewId="0" topLeftCell="A51">
      <selection activeCell="E65" sqref="E65"/>
    </sheetView>
  </sheetViews>
  <sheetFormatPr defaultColWidth="9.140625" defaultRowHeight="12.75" customHeight="1"/>
  <cols>
    <col min="1" max="1" width="8.8515625" style="0" customWidth="1"/>
    <col min="2" max="2" width="60.8515625" style="0" customWidth="1"/>
    <col min="3" max="5" width="16.421875" style="0" customWidth="1"/>
    <col min="6" max="6" width="11.140625" style="0" customWidth="1"/>
    <col min="7" max="7" width="10.57421875" style="0" customWidth="1"/>
    <col min="8" max="8" width="6.8515625" style="0" customWidth="1"/>
    <col min="9" max="9" width="11.7109375" style="0" bestFit="1" customWidth="1"/>
    <col min="12" max="12" width="11.28125" style="0" customWidth="1"/>
    <col min="13" max="13" width="10.140625" style="0" customWidth="1"/>
  </cols>
  <sheetData>
    <row r="1" spans="1:8" ht="33.75" customHeight="1" thickBot="1">
      <c r="A1" s="497" t="s">
        <v>648</v>
      </c>
      <c r="B1" s="498"/>
      <c r="C1" s="498"/>
      <c r="D1" s="498"/>
      <c r="E1" s="498"/>
      <c r="F1" s="498"/>
      <c r="G1" s="499"/>
      <c r="H1" s="22"/>
    </row>
    <row r="2" spans="1:7" ht="36.75" customHeight="1" thickTop="1">
      <c r="A2" s="265" t="s">
        <v>57</v>
      </c>
      <c r="B2" s="286" t="s">
        <v>203</v>
      </c>
      <c r="C2" s="287" t="s">
        <v>499</v>
      </c>
      <c r="D2" s="287" t="s">
        <v>633</v>
      </c>
      <c r="E2" s="287" t="s">
        <v>643</v>
      </c>
      <c r="F2" s="287" t="s">
        <v>109</v>
      </c>
      <c r="G2" s="288" t="s">
        <v>194</v>
      </c>
    </row>
    <row r="3" spans="1:7" ht="15.75" customHeight="1">
      <c r="A3" s="115">
        <v>1</v>
      </c>
      <c r="B3" s="116">
        <v>2</v>
      </c>
      <c r="C3" s="117">
        <v>3</v>
      </c>
      <c r="D3" s="117" t="s">
        <v>639</v>
      </c>
      <c r="E3" s="117">
        <v>5</v>
      </c>
      <c r="F3" s="117" t="s">
        <v>645</v>
      </c>
      <c r="G3" s="114">
        <v>7</v>
      </c>
    </row>
    <row r="4" spans="1:9" ht="21" customHeight="1">
      <c r="A4" s="267"/>
      <c r="B4" s="289" t="s">
        <v>330</v>
      </c>
      <c r="C4" s="53">
        <f>C5+C38+C43</f>
        <v>18704310</v>
      </c>
      <c r="D4" s="53">
        <f>D5+D38+D43</f>
        <v>1055980</v>
      </c>
      <c r="E4" s="53">
        <f>E5+E38+E43</f>
        <v>19760290.000000004</v>
      </c>
      <c r="F4" s="53">
        <f>E4/C4*100</f>
        <v>105.6456506548491</v>
      </c>
      <c r="G4" s="290">
        <f>E4/$E$56*100</f>
        <v>68.72042430761537</v>
      </c>
      <c r="H4" s="1"/>
      <c r="I4" s="1"/>
    </row>
    <row r="5" spans="1:9" ht="15.75" customHeight="1">
      <c r="A5" s="291">
        <v>410000</v>
      </c>
      <c r="B5" s="270" t="s">
        <v>336</v>
      </c>
      <c r="C5" s="60">
        <f>C6+C11+C21+C25+C27+C29+C32+C36</f>
        <v>18227810</v>
      </c>
      <c r="D5" s="60">
        <f>D6+D11+D21+D25+D27+D29+D32+D36</f>
        <v>1186037.77</v>
      </c>
      <c r="E5" s="60">
        <f>E6+E11+E21+E25+E27+E29+E32+E36</f>
        <v>19413847.770000003</v>
      </c>
      <c r="F5" s="60">
        <f aca="true" t="shared" si="0" ref="F5:F56">E5/C5*100</f>
        <v>106.50674858910645</v>
      </c>
      <c r="G5" s="190">
        <f aca="true" t="shared" si="1" ref="G5:G56">E5/$E$56*100</f>
        <v>67.51560104623225</v>
      </c>
      <c r="H5" s="1"/>
      <c r="I5" s="1"/>
    </row>
    <row r="6" spans="1:13" ht="15.75" customHeight="1">
      <c r="A6" s="292">
        <v>411000</v>
      </c>
      <c r="B6" s="293" t="s">
        <v>325</v>
      </c>
      <c r="C6" s="66">
        <f>SUM(C7:C10)</f>
        <v>8627840</v>
      </c>
      <c r="D6" s="66">
        <f>SUM(D7:D10)</f>
        <v>803190</v>
      </c>
      <c r="E6" s="66">
        <f>SUM(E7:E10)</f>
        <v>9431030</v>
      </c>
      <c r="F6" s="67">
        <f t="shared" si="0"/>
        <v>109.30928250871597</v>
      </c>
      <c r="G6" s="256">
        <f t="shared" si="1"/>
        <v>32.79832346882812</v>
      </c>
      <c r="H6" s="1"/>
      <c r="I6" s="1"/>
      <c r="J6" s="2"/>
      <c r="K6" s="2"/>
      <c r="L6" s="2"/>
      <c r="M6" s="2"/>
    </row>
    <row r="7" spans="1:13" ht="13.5" customHeight="1">
      <c r="A7" s="274">
        <v>411100</v>
      </c>
      <c r="B7" s="294" t="s">
        <v>321</v>
      </c>
      <c r="C7" s="99">
        <f>SUMIF(Org!$C$10:Org!$D$602,411100,Org!E$10:Org!E$603)</f>
        <v>7194700</v>
      </c>
      <c r="D7" s="99">
        <f>SUMIF(Org!$C$10:Org!$D$602,411100,Org!F$10:Org!F$603)</f>
        <v>485000</v>
      </c>
      <c r="E7" s="127">
        <f>SUMIF(Org!$C$10:Org!$D$602,411100,Org!G$10:Org!G$603)</f>
        <v>7679700</v>
      </c>
      <c r="F7" s="127">
        <f t="shared" si="0"/>
        <v>106.74107329006073</v>
      </c>
      <c r="G7" s="346">
        <f t="shared" si="1"/>
        <v>26.707717475563047</v>
      </c>
      <c r="H7" s="1"/>
      <c r="I7" s="1"/>
      <c r="J7" s="2"/>
      <c r="K7" s="2"/>
      <c r="L7" s="2"/>
      <c r="M7" s="2"/>
    </row>
    <row r="8" spans="1:13" ht="25.5">
      <c r="A8" s="274">
        <v>411200</v>
      </c>
      <c r="B8" s="295" t="s">
        <v>326</v>
      </c>
      <c r="C8" s="99">
        <f>SUMIF(Org!$C$8:Org!$D$602,411200,Org!E$8:Org!E$604)</f>
        <v>1115640</v>
      </c>
      <c r="D8" s="99">
        <f>SUMIF(Org!$C$8:Org!$D$602,411200,Org!F$8:Org!F$604)</f>
        <v>255200</v>
      </c>
      <c r="E8" s="127">
        <f>SUMIF(Org!$C$8:Org!$D$602,411200,Org!G$8:Org!G$604)</f>
        <v>1370840</v>
      </c>
      <c r="F8" s="127">
        <f t="shared" si="0"/>
        <v>122.8747624681797</v>
      </c>
      <c r="G8" s="346">
        <f t="shared" si="1"/>
        <v>4.767374692266735</v>
      </c>
      <c r="H8" s="1"/>
      <c r="I8" s="1"/>
      <c r="J8" s="2"/>
      <c r="K8" s="2"/>
      <c r="L8" s="2"/>
      <c r="M8" s="2"/>
    </row>
    <row r="9" spans="1:13" ht="25.5">
      <c r="A9" s="274">
        <v>411300</v>
      </c>
      <c r="B9" s="295" t="s">
        <v>408</v>
      </c>
      <c r="C9" s="99">
        <f>SUMIF(Org!$C$10:Org!$D$602,411300,Org!E$10:Org!E$604)</f>
        <v>144400</v>
      </c>
      <c r="D9" s="99">
        <f>SUMIF(Org!$C$10:Org!$D$602,411300,Org!F$10:Org!F$604)</f>
        <v>57500</v>
      </c>
      <c r="E9" s="127">
        <f>SUMIF(Org!$C$10:Org!$D$602,411300,Org!G$10:Org!G$604)</f>
        <v>201900</v>
      </c>
      <c r="F9" s="127">
        <f t="shared" si="0"/>
        <v>139.81994459833794</v>
      </c>
      <c r="G9" s="346">
        <f t="shared" si="1"/>
        <v>0.7021482816146697</v>
      </c>
      <c r="H9" s="1"/>
      <c r="I9" s="1"/>
      <c r="J9" s="2"/>
      <c r="K9" s="2"/>
      <c r="L9" s="2"/>
      <c r="M9" s="2"/>
    </row>
    <row r="10" spans="1:13" ht="14.25" customHeight="1">
      <c r="A10" s="274">
        <v>411400</v>
      </c>
      <c r="B10" s="294" t="s">
        <v>322</v>
      </c>
      <c r="C10" s="99">
        <f>SUMIF(Org!$C$10:Org!$D$602,411400,Org!E$10:Org!E$604)</f>
        <v>173100</v>
      </c>
      <c r="D10" s="99">
        <f>SUMIF(Org!$C$10:Org!$D$602,411400,Org!F$10:Org!F$604)</f>
        <v>5490</v>
      </c>
      <c r="E10" s="127">
        <f>SUMIF(Org!$C$10:Org!$D$602,411400,Org!G$10:Org!G$604)</f>
        <v>178590</v>
      </c>
      <c r="F10" s="127">
        <f t="shared" si="0"/>
        <v>103.17157712305026</v>
      </c>
      <c r="G10" s="346">
        <f t="shared" si="1"/>
        <v>0.6210830193836744</v>
      </c>
      <c r="H10" s="1"/>
      <c r="I10" s="1"/>
      <c r="J10" s="2"/>
      <c r="K10" s="2"/>
      <c r="L10" s="2"/>
      <c r="M10" s="2"/>
    </row>
    <row r="11" spans="1:13" ht="15.75" customHeight="1">
      <c r="A11" s="292">
        <v>412000</v>
      </c>
      <c r="B11" s="296" t="s">
        <v>119</v>
      </c>
      <c r="C11" s="66">
        <f>SUM(C12:C20)</f>
        <v>3666320</v>
      </c>
      <c r="D11" s="66">
        <f>SUM(D12:D20)</f>
        <v>-77428.38000000002</v>
      </c>
      <c r="E11" s="66">
        <f>SUM(E12:E20)</f>
        <v>3588891.62</v>
      </c>
      <c r="F11" s="67">
        <f t="shared" si="0"/>
        <v>97.88811724017545</v>
      </c>
      <c r="G11" s="256">
        <f t="shared" si="1"/>
        <v>12.481099969709204</v>
      </c>
      <c r="H11" s="1"/>
      <c r="I11" s="1"/>
      <c r="J11" s="2"/>
      <c r="K11" s="2"/>
      <c r="L11" s="2"/>
      <c r="M11" s="2"/>
    </row>
    <row r="12" spans="1:13" ht="15" customHeight="1">
      <c r="A12" s="277">
        <v>412100</v>
      </c>
      <c r="B12" s="93" t="s">
        <v>120</v>
      </c>
      <c r="C12" s="99">
        <f>SUMIF(Org!$C$10:Org!$D$602,412100,Org!E$10:Org!E$603)</f>
        <v>52960</v>
      </c>
      <c r="D12" s="99">
        <f>SUMIF(Org!$C$10:Org!$D$602,412100,Org!F$10:Org!F$603)</f>
        <v>-4300</v>
      </c>
      <c r="E12" s="99">
        <f>SUMIF(Org!$C$10:Org!$D$602,412100,Org!G$10:Org!G$603)</f>
        <v>48660</v>
      </c>
      <c r="F12" s="127">
        <f t="shared" si="0"/>
        <v>91.88066465256797</v>
      </c>
      <c r="G12" s="346">
        <f t="shared" si="1"/>
        <v>0.16922503904591296</v>
      </c>
      <c r="I12" s="1"/>
      <c r="J12" s="400"/>
      <c r="K12" s="2"/>
      <c r="L12" s="2"/>
      <c r="M12" s="2"/>
    </row>
    <row r="13" spans="1:13" ht="25.5">
      <c r="A13" s="277">
        <v>412200</v>
      </c>
      <c r="B13" s="93" t="s">
        <v>121</v>
      </c>
      <c r="C13" s="99">
        <f>SUMIF(Org!$C$10:Org!$D$602,412200,Org!E$10:Org!E$603)</f>
        <v>857240</v>
      </c>
      <c r="D13" s="99">
        <f>SUMIF(Org!$C$10:Org!$D$602,412200,Org!F$10:Org!F$603)</f>
        <v>-4700</v>
      </c>
      <c r="E13" s="99">
        <f>SUMIF(Org!$C$10:Org!$D$602,412200,Org!G$10:Org!G$603)</f>
        <v>852540</v>
      </c>
      <c r="F13" s="127">
        <f t="shared" si="0"/>
        <v>99.45172880406888</v>
      </c>
      <c r="G13" s="346">
        <f t="shared" si="1"/>
        <v>2.9648811094986156</v>
      </c>
      <c r="I13" s="1"/>
      <c r="J13" s="400"/>
      <c r="K13" s="2"/>
      <c r="L13" s="2"/>
      <c r="M13" s="2"/>
    </row>
    <row r="14" spans="1:13" ht="12.75">
      <c r="A14" s="277">
        <v>412300</v>
      </c>
      <c r="B14" s="137" t="s">
        <v>122</v>
      </c>
      <c r="C14" s="99">
        <f>SUMIF(Org!$C$10:Org!$D$602,412300,Org!E$10:Org!E$603)</f>
        <v>105600</v>
      </c>
      <c r="D14" s="99">
        <f>SUMIF(Org!$C$10:Org!$D$602,412300,Org!F$10:Org!F$603)</f>
        <v>850</v>
      </c>
      <c r="E14" s="99">
        <f>SUMIF(Org!$C$10:Org!$D$602,412300,Org!G$10:Org!G$603)</f>
        <v>106450</v>
      </c>
      <c r="F14" s="127">
        <f t="shared" si="0"/>
        <v>100.80492424242425</v>
      </c>
      <c r="G14" s="346">
        <f t="shared" si="1"/>
        <v>0.37020150855810596</v>
      </c>
      <c r="I14" s="1"/>
      <c r="J14" s="400"/>
      <c r="K14" s="2"/>
      <c r="L14" s="2"/>
      <c r="M14" s="2"/>
    </row>
    <row r="15" spans="1:13" ht="14.25" customHeight="1">
      <c r="A15" s="277">
        <v>412400</v>
      </c>
      <c r="B15" s="137" t="s">
        <v>123</v>
      </c>
      <c r="C15" s="99">
        <f>SUMIF(Org!$C$10:Org!$D$602,412400,Org!E$10:Org!E$603)</f>
        <v>272860</v>
      </c>
      <c r="D15" s="99">
        <f>SUMIF(Org!$C$10:Org!$D$602,412400,Org!F$10:Org!F$603)</f>
        <v>-74000</v>
      </c>
      <c r="E15" s="99">
        <f>SUMIF(Org!$C$10:Org!$D$602,412400,Org!G$10:Org!G$603)</f>
        <v>198860</v>
      </c>
      <c r="F15" s="127">
        <f t="shared" si="0"/>
        <v>72.87986513230229</v>
      </c>
      <c r="G15" s="346">
        <f t="shared" si="1"/>
        <v>0.6915760638033344</v>
      </c>
      <c r="I15" s="1"/>
      <c r="J15" s="400"/>
      <c r="K15" s="2"/>
      <c r="L15" s="401"/>
      <c r="M15" s="2"/>
    </row>
    <row r="16" spans="1:13" ht="13.5" customHeight="1">
      <c r="A16" s="277">
        <v>412500</v>
      </c>
      <c r="B16" s="137" t="s">
        <v>124</v>
      </c>
      <c r="C16" s="99">
        <f>SUMIF(Org!$C$10:Org!$D$602,412500,Org!E$10:Org!E$603)</f>
        <v>481850</v>
      </c>
      <c r="D16" s="99">
        <f>SUMIF(Org!$C$10:Org!$D$602,412500,Org!F$10:Org!F$603)</f>
        <v>-30700</v>
      </c>
      <c r="E16" s="99">
        <f>SUMIF(Org!$C$10:Org!$D$602,412500,Org!G$10:Org!G$603)</f>
        <v>451150</v>
      </c>
      <c r="F16" s="127">
        <f t="shared" si="0"/>
        <v>93.62872263152433</v>
      </c>
      <c r="G16" s="346">
        <f t="shared" si="1"/>
        <v>1.5689658110473415</v>
      </c>
      <c r="I16" s="1"/>
      <c r="J16" s="400"/>
      <c r="K16" s="2"/>
      <c r="L16" s="2"/>
      <c r="M16" s="2"/>
    </row>
    <row r="17" spans="1:13" ht="12.75" customHeight="1">
      <c r="A17" s="277">
        <v>412600</v>
      </c>
      <c r="B17" s="137" t="s">
        <v>125</v>
      </c>
      <c r="C17" s="99">
        <f>SUMIF(Org!$C$10:Org!$D$602,412600,Org!E$10:Org!E$603)</f>
        <v>8100</v>
      </c>
      <c r="D17" s="99">
        <f>SUMIF(Org!$C$10:Org!$D$602,412600,Org!F$10:Org!F$603)</f>
        <v>7300</v>
      </c>
      <c r="E17" s="99">
        <f>SUMIF(Org!$C$10:Org!$D$602,412600,Org!G$10:Org!G$603)</f>
        <v>15400</v>
      </c>
      <c r="F17" s="127">
        <f t="shared" si="0"/>
        <v>190.12345679012347</v>
      </c>
      <c r="G17" s="346">
        <f t="shared" si="1"/>
        <v>0.05355662970215906</v>
      </c>
      <c r="I17" s="1"/>
      <c r="J17" s="400"/>
      <c r="K17" s="2"/>
      <c r="L17" s="2"/>
      <c r="M17" s="2"/>
    </row>
    <row r="18" spans="1:13" ht="12.75" customHeight="1">
      <c r="A18" s="277">
        <v>412700</v>
      </c>
      <c r="B18" s="93" t="s">
        <v>126</v>
      </c>
      <c r="C18" s="99">
        <f>SUMIF(Org!$C$10:Org!$D$602,412700,Org!E$10:Org!E$603)</f>
        <v>418800</v>
      </c>
      <c r="D18" s="99">
        <f>SUMIF(Org!$C$10:Org!$D$602,412700,Org!F$10:Org!F$603)</f>
        <v>28232.11</v>
      </c>
      <c r="E18" s="99">
        <f>SUMIF(Org!$C$10:Org!$D$602,412700,Org!G$10:Org!G$603)</f>
        <v>447032.11</v>
      </c>
      <c r="F18" s="127">
        <f t="shared" si="0"/>
        <v>106.74119149952244</v>
      </c>
      <c r="G18" s="346">
        <f t="shared" si="1"/>
        <v>1.5546450117042099</v>
      </c>
      <c r="I18" s="1"/>
      <c r="J18" s="400"/>
      <c r="K18" s="2"/>
      <c r="L18" s="2"/>
      <c r="M18" s="2"/>
    </row>
    <row r="19" spans="1:13" ht="13.5" customHeight="1">
      <c r="A19" s="273">
        <v>412800</v>
      </c>
      <c r="B19" s="98" t="s">
        <v>127</v>
      </c>
      <c r="C19" s="99">
        <f>SUMIF(Org!$C$10:Org!$D$602,412800,Org!E$10:Org!E$603)</f>
        <v>735000</v>
      </c>
      <c r="D19" s="99">
        <f>SUMIF(Org!$C$10:Org!$D$602,412800,Org!F$10:Org!F$603)</f>
        <v>-72155</v>
      </c>
      <c r="E19" s="99">
        <f>SUMIF(Org!$C$10:Org!$D$602,412800,Org!G$10:Org!G$603)</f>
        <v>662845</v>
      </c>
      <c r="F19" s="127">
        <f t="shared" si="0"/>
        <v>90.18299319727892</v>
      </c>
      <c r="G19" s="346">
        <f t="shared" si="1"/>
        <v>2.3051781957745208</v>
      </c>
      <c r="I19" s="1"/>
      <c r="J19" s="400"/>
      <c r="K19" s="2"/>
      <c r="L19" s="2"/>
      <c r="M19" s="2"/>
    </row>
    <row r="20" spans="1:13" ht="12.75" customHeight="1">
      <c r="A20" s="273">
        <v>412900</v>
      </c>
      <c r="B20" s="208" t="s">
        <v>327</v>
      </c>
      <c r="C20" s="99">
        <f>SUMIF(Org!$C$10:Org!$D$602,412900,Org!E$10:Org!E$603)</f>
        <v>733910</v>
      </c>
      <c r="D20" s="99">
        <f>SUMIF(Org!$C$10:Org!$D$602,412900,Org!F$10:Org!F$603)</f>
        <v>72044.51</v>
      </c>
      <c r="E20" s="99">
        <f>SUMIF(Org!$C$10:Org!$D$602,412900,Org!G$10:Org!G$603)</f>
        <v>805954.51</v>
      </c>
      <c r="F20" s="127">
        <f t="shared" si="0"/>
        <v>109.8165319998365</v>
      </c>
      <c r="G20" s="346">
        <f t="shared" si="1"/>
        <v>2.8028706005750035</v>
      </c>
      <c r="I20" s="1"/>
      <c r="J20" s="400"/>
      <c r="K20" s="2"/>
      <c r="L20" s="2"/>
      <c r="M20" s="2"/>
    </row>
    <row r="21" spans="1:13" ht="15.75" customHeight="1">
      <c r="A21" s="292">
        <v>413000</v>
      </c>
      <c r="B21" s="297" t="s">
        <v>129</v>
      </c>
      <c r="C21" s="298">
        <f>SUM(C22:C24)</f>
        <v>220000</v>
      </c>
      <c r="D21" s="298">
        <f>SUM(D22:D24)</f>
        <v>0</v>
      </c>
      <c r="E21" s="298">
        <f>SUM(E22:E24)</f>
        <v>220000</v>
      </c>
      <c r="F21" s="67">
        <f t="shared" si="0"/>
        <v>100</v>
      </c>
      <c r="G21" s="256">
        <f t="shared" si="1"/>
        <v>0.7650947100308437</v>
      </c>
      <c r="H21" s="1"/>
      <c r="I21" s="1"/>
      <c r="J21" s="400"/>
      <c r="K21" s="2"/>
      <c r="L21" s="2"/>
      <c r="M21" s="2"/>
    </row>
    <row r="22" spans="1:13" ht="12.75">
      <c r="A22" s="274">
        <v>413300</v>
      </c>
      <c r="B22" s="93" t="s">
        <v>130</v>
      </c>
      <c r="C22" s="275">
        <f>SUMIF(Org!$C$10:Org!$D$602,413300,Org!E$10:Org!E$603)</f>
        <v>150000</v>
      </c>
      <c r="D22" s="275">
        <f>SUMIF(Org!$C$10:Org!$D$602,413300,Org!F$10:Org!F$603)</f>
        <v>0</v>
      </c>
      <c r="E22" s="275">
        <f>SUMIF(Org!$C$10:Org!$D$602,413300,Org!G$10:Org!G$603)</f>
        <v>150000</v>
      </c>
      <c r="F22" s="127">
        <f t="shared" si="0"/>
        <v>100</v>
      </c>
      <c r="G22" s="346">
        <f t="shared" si="1"/>
        <v>0.5216554841119388</v>
      </c>
      <c r="I22" s="1"/>
      <c r="J22" s="400"/>
      <c r="K22" s="2"/>
      <c r="L22" s="2"/>
      <c r="M22" s="2"/>
    </row>
    <row r="23" spans="1:13" ht="18" customHeight="1" hidden="1">
      <c r="A23" s="274">
        <v>413400</v>
      </c>
      <c r="B23" s="93" t="s">
        <v>131</v>
      </c>
      <c r="C23" s="275">
        <f>SUMIF(Org!$C$10:Org!$D$602,413400,Org!E$10:Org!E$603)</f>
        <v>0</v>
      </c>
      <c r="D23" s="275"/>
      <c r="E23" s="275"/>
      <c r="F23" s="127" t="e">
        <f t="shared" si="0"/>
        <v>#DIV/0!</v>
      </c>
      <c r="G23" s="346">
        <f t="shared" si="1"/>
        <v>0</v>
      </c>
      <c r="I23" s="1"/>
      <c r="J23" s="400"/>
      <c r="K23" s="2"/>
      <c r="L23" s="2"/>
      <c r="M23" s="2"/>
    </row>
    <row r="24" spans="1:13" ht="19.5" customHeight="1">
      <c r="A24" s="274">
        <v>413700</v>
      </c>
      <c r="B24" s="93" t="s">
        <v>132</v>
      </c>
      <c r="C24" s="275">
        <f>SUMIF(Org!$C$10:Org!$D$602,413700,Org!E$10:Org!E$603)</f>
        <v>70000</v>
      </c>
      <c r="D24" s="275">
        <f>SUMIF(Org!$C$10:Org!$D$602,413700,Org!F$10:Org!F$603)</f>
        <v>0</v>
      </c>
      <c r="E24" s="275">
        <f>SUMIF(Org!$C$10:Org!$D$602,413700,Org!G$10:Org!G$603)</f>
        <v>70000</v>
      </c>
      <c r="F24" s="127">
        <f t="shared" si="0"/>
        <v>100</v>
      </c>
      <c r="G24" s="346">
        <f t="shared" si="1"/>
        <v>0.2434392259189048</v>
      </c>
      <c r="I24" s="1"/>
      <c r="J24" s="400"/>
      <c r="K24" s="2"/>
      <c r="L24" s="2"/>
      <c r="M24" s="2"/>
    </row>
    <row r="25" spans="1:13" ht="13.5" customHeight="1">
      <c r="A25" s="292">
        <v>414000</v>
      </c>
      <c r="B25" s="293" t="s">
        <v>174</v>
      </c>
      <c r="C25" s="66">
        <f>SUM(C26)</f>
        <v>510000</v>
      </c>
      <c r="D25" s="66">
        <f>SUM(D26)</f>
        <v>40000</v>
      </c>
      <c r="E25" s="66">
        <f>SUM(E26)</f>
        <v>550000</v>
      </c>
      <c r="F25" s="67">
        <f t="shared" si="0"/>
        <v>107.84313725490196</v>
      </c>
      <c r="G25" s="256">
        <f t="shared" si="1"/>
        <v>1.912736775077109</v>
      </c>
      <c r="H25" s="1"/>
      <c r="I25" s="1"/>
      <c r="J25" s="400"/>
      <c r="K25" s="2"/>
      <c r="L25" s="2"/>
      <c r="M25" s="2"/>
    </row>
    <row r="26" spans="1:13" ht="15" customHeight="1">
      <c r="A26" s="274">
        <v>414100</v>
      </c>
      <c r="B26" s="93" t="s">
        <v>174</v>
      </c>
      <c r="C26" s="275">
        <f>SUMIF(Org!$C$10:Org!$D$602,414100,Org!E$10:Org!E$603)</f>
        <v>510000</v>
      </c>
      <c r="D26" s="275">
        <f>SUMIF(Org!$C$10:Org!$D$602,414100,Org!F$10:Org!F$603)</f>
        <v>40000</v>
      </c>
      <c r="E26" s="275">
        <f>SUMIF(Org!$C$10:Org!$D$602,414100,Org!G$10:Org!G$603)</f>
        <v>550000</v>
      </c>
      <c r="F26" s="127">
        <f t="shared" si="0"/>
        <v>107.84313725490196</v>
      </c>
      <c r="G26" s="346">
        <f t="shared" si="1"/>
        <v>1.912736775077109</v>
      </c>
      <c r="I26" s="1"/>
      <c r="J26" s="400"/>
      <c r="K26" s="2"/>
      <c r="L26" s="2"/>
      <c r="M26" s="2"/>
    </row>
    <row r="27" spans="1:13" ht="14.25" customHeight="1">
      <c r="A27" s="292">
        <v>415000</v>
      </c>
      <c r="B27" s="296" t="s">
        <v>133</v>
      </c>
      <c r="C27" s="66">
        <f>SUM(C28)</f>
        <v>1307500</v>
      </c>
      <c r="D27" s="66">
        <f>SUM(D28)</f>
        <v>118436.15</v>
      </c>
      <c r="E27" s="66">
        <f>SUM(E28)</f>
        <v>1425936.15</v>
      </c>
      <c r="F27" s="67">
        <f t="shared" si="0"/>
        <v>109.05821414913956</v>
      </c>
      <c r="G27" s="256">
        <f t="shared" si="1"/>
        <v>4.958982750939761</v>
      </c>
      <c r="I27" s="1"/>
      <c r="J27" s="400"/>
      <c r="K27" s="2"/>
      <c r="L27" s="2"/>
      <c r="M27" s="2"/>
    </row>
    <row r="28" spans="1:13" ht="15" customHeight="1">
      <c r="A28" s="273">
        <v>415200</v>
      </c>
      <c r="B28" s="208" t="s">
        <v>134</v>
      </c>
      <c r="C28" s="99">
        <f>SUMIF(Org!$C$10:Org!$D$602,415200,Org!E$10:Org!E$603)</f>
        <v>1307500</v>
      </c>
      <c r="D28" s="99">
        <f>SUMIF(Org!$C$10:Org!$D$602,415200,Org!F$10:Org!F$603)</f>
        <v>118436.15</v>
      </c>
      <c r="E28" s="99">
        <f>SUMIF(Org!$C$10:Org!$D$602,415200,Org!G$10:Org!G$603)</f>
        <v>1425936.15</v>
      </c>
      <c r="F28" s="127">
        <f t="shared" si="0"/>
        <v>109.05821414913956</v>
      </c>
      <c r="G28" s="346">
        <f t="shared" si="1"/>
        <v>4.958982750939761</v>
      </c>
      <c r="H28" s="1"/>
      <c r="I28" s="1"/>
      <c r="J28" s="400"/>
      <c r="K28" s="2"/>
      <c r="L28" s="2"/>
      <c r="M28" s="2"/>
    </row>
    <row r="29" spans="1:13" ht="15" customHeight="1">
      <c r="A29" s="292">
        <v>416000</v>
      </c>
      <c r="B29" s="297" t="s">
        <v>611</v>
      </c>
      <c r="C29" s="66">
        <f>SUM(C30:C31)</f>
        <v>3667100</v>
      </c>
      <c r="D29" s="66">
        <f>SUM(D30:D31)</f>
        <v>326690</v>
      </c>
      <c r="E29" s="66">
        <f>SUM(E30:E31)</f>
        <v>3993790</v>
      </c>
      <c r="F29" s="67">
        <f t="shared" si="0"/>
        <v>108.90867442938561</v>
      </c>
      <c r="G29" s="256">
        <f t="shared" si="1"/>
        <v>13.88921637260947</v>
      </c>
      <c r="H29" s="1"/>
      <c r="I29" s="1"/>
      <c r="J29" s="402"/>
      <c r="K29" s="2"/>
      <c r="L29" s="2"/>
      <c r="M29" s="2"/>
    </row>
    <row r="30" spans="1:13" ht="25.5">
      <c r="A30" s="274">
        <v>416100</v>
      </c>
      <c r="B30" s="93" t="s">
        <v>135</v>
      </c>
      <c r="C30" s="99">
        <f>SUMIF(Org!$C$10:Org!$D$602,416100,Org!E$10:Org!E$603)</f>
        <v>3252100</v>
      </c>
      <c r="D30" s="99">
        <f>SUMIF(Org!$C$10:Org!$D$602,416100,Org!F$10:Org!F$603)</f>
        <v>300690</v>
      </c>
      <c r="E30" s="99">
        <f>SUMIF(Org!$C$10:Org!$D$602,416100,Org!G$10:Org!G$603)</f>
        <v>3552790</v>
      </c>
      <c r="F30" s="127">
        <f t="shared" si="0"/>
        <v>109.24602564496786</v>
      </c>
      <c r="G30" s="346">
        <f t="shared" si="1"/>
        <v>12.355549249320369</v>
      </c>
      <c r="I30" s="1"/>
      <c r="J30" s="401"/>
      <c r="K30" s="2"/>
      <c r="L30" s="2"/>
      <c r="M30" s="2"/>
    </row>
    <row r="31" spans="1:13" ht="25.5">
      <c r="A31" s="274">
        <v>416300</v>
      </c>
      <c r="B31" s="93" t="s">
        <v>136</v>
      </c>
      <c r="C31" s="99">
        <f>SUMIF(Org!$C$10:Org!$D$602,416300,Org!E$10:Org!E$603)</f>
        <v>415000</v>
      </c>
      <c r="D31" s="99">
        <f>SUMIF(Org!$C$10:Org!$D$602,416300,Org!F$10:Org!F$603)</f>
        <v>26000</v>
      </c>
      <c r="E31" s="99">
        <f>SUMIF(Org!$C$10:Org!$D$602,416300,Org!G$10:Org!G$603)</f>
        <v>441000</v>
      </c>
      <c r="F31" s="127">
        <f t="shared" si="0"/>
        <v>106.26506024096385</v>
      </c>
      <c r="G31" s="346">
        <f t="shared" si="1"/>
        <v>1.5336671232891004</v>
      </c>
      <c r="I31" s="1"/>
      <c r="J31" s="2"/>
      <c r="K31" s="2"/>
      <c r="L31" s="2"/>
      <c r="M31" s="2"/>
    </row>
    <row r="32" spans="1:13" ht="27" customHeight="1">
      <c r="A32" s="292">
        <v>418000</v>
      </c>
      <c r="B32" s="293" t="s">
        <v>410</v>
      </c>
      <c r="C32" s="66">
        <f>SUM(C33:C35)</f>
        <v>76550</v>
      </c>
      <c r="D32" s="66">
        <f>SUM(D33:D35)</f>
        <v>1050</v>
      </c>
      <c r="E32" s="66">
        <f>SUM(E33:E35)</f>
        <v>77600</v>
      </c>
      <c r="F32" s="67">
        <f t="shared" si="0"/>
        <v>101.37165251469628</v>
      </c>
      <c r="G32" s="256">
        <f t="shared" si="1"/>
        <v>0.26986977044724303</v>
      </c>
      <c r="I32" s="1"/>
      <c r="J32" s="2"/>
      <c r="K32" s="2"/>
      <c r="L32" s="2"/>
      <c r="M32" s="2"/>
    </row>
    <row r="33" spans="1:13" ht="24" customHeight="1">
      <c r="A33" s="274">
        <v>418100</v>
      </c>
      <c r="B33" s="93" t="s">
        <v>393</v>
      </c>
      <c r="C33" s="99">
        <f>SUMIF(Org!$C$10:Org!$D$602,418100,Org!E$10:Org!E$603)</f>
        <v>9100</v>
      </c>
      <c r="D33" s="99">
        <f>SUMIF(Org!$C$10:Org!$D$602,418100,Org!F$10:Org!F$603)</f>
        <v>-5600</v>
      </c>
      <c r="E33" s="99">
        <f>SUMIF(Org!$C$10:Org!$D$602,418100,Org!G$10:Org!G$603)</f>
        <v>3500</v>
      </c>
      <c r="F33" s="127">
        <f t="shared" si="0"/>
        <v>38.46153846153847</v>
      </c>
      <c r="G33" s="346">
        <f t="shared" si="1"/>
        <v>0.01217196129594524</v>
      </c>
      <c r="I33" s="1"/>
      <c r="J33" s="2"/>
      <c r="K33" s="2"/>
      <c r="L33" s="2"/>
      <c r="M33" s="2"/>
    </row>
    <row r="34" spans="1:13" ht="12.75">
      <c r="A34" s="274">
        <v>418200</v>
      </c>
      <c r="B34" s="93" t="s">
        <v>411</v>
      </c>
      <c r="C34" s="99">
        <f>SUMIF(Org!$C$10:Org!$D$602,418200,Org!E$10:Org!E$603)</f>
        <v>33000</v>
      </c>
      <c r="D34" s="99">
        <f>SUMIF(Org!$C$10:Org!$D$602,418200,Org!F$10:Org!F$603)</f>
        <v>0</v>
      </c>
      <c r="E34" s="99">
        <f>SUMIF(Org!$C$10:Org!$D$602,418200,Org!G$10:Org!G$603)</f>
        <v>33000</v>
      </c>
      <c r="F34" s="127">
        <f t="shared" si="0"/>
        <v>100</v>
      </c>
      <c r="G34" s="346">
        <f t="shared" si="1"/>
        <v>0.11476420650462654</v>
      </c>
      <c r="I34" s="1"/>
      <c r="J34" s="2"/>
      <c r="K34" s="2"/>
      <c r="L34" s="2"/>
      <c r="M34" s="2"/>
    </row>
    <row r="35" spans="1:13" ht="12.75">
      <c r="A35" s="372">
        <v>418400</v>
      </c>
      <c r="B35" s="93" t="s">
        <v>567</v>
      </c>
      <c r="C35" s="99">
        <f>SUMIF(Org!$C$10:Org!$D$602,418400,Org!E$10:Org!E$603)</f>
        <v>34450</v>
      </c>
      <c r="D35" s="99">
        <f>SUMIF(Org!$C$10:Org!$D$602,418400,Org!F$10:Org!F$603)</f>
        <v>6650</v>
      </c>
      <c r="E35" s="99">
        <f>SUMIF(Org!$C$10:Org!$D$602,418400,Org!G$10:Org!G$603)</f>
        <v>41100</v>
      </c>
      <c r="F35" s="127">
        <f t="shared" si="0"/>
        <v>119.30333817126271</v>
      </c>
      <c r="G35" s="346">
        <f t="shared" si="1"/>
        <v>0.14293360264667127</v>
      </c>
      <c r="I35" s="1"/>
      <c r="J35" s="2"/>
      <c r="K35" s="2"/>
      <c r="L35" s="2"/>
      <c r="M35" s="2"/>
    </row>
    <row r="36" spans="1:13" ht="16.5" customHeight="1">
      <c r="A36" s="292">
        <v>419000</v>
      </c>
      <c r="B36" s="293" t="s">
        <v>309</v>
      </c>
      <c r="C36" s="66">
        <f>SUM(C37)</f>
        <v>152500</v>
      </c>
      <c r="D36" s="66">
        <f>SUM(D37)</f>
        <v>-25900</v>
      </c>
      <c r="E36" s="66">
        <f>SUM(E37)</f>
        <v>126600</v>
      </c>
      <c r="F36" s="67">
        <f t="shared" si="0"/>
        <v>83.01639344262296</v>
      </c>
      <c r="G36" s="256">
        <f t="shared" si="1"/>
        <v>0.44027722859047635</v>
      </c>
      <c r="I36" s="1"/>
      <c r="J36" s="2"/>
      <c r="K36" s="2"/>
      <c r="L36" s="2"/>
      <c r="M36" s="2"/>
    </row>
    <row r="37" spans="1:13" ht="12.75">
      <c r="A37" s="274">
        <v>419100</v>
      </c>
      <c r="B37" s="93" t="s">
        <v>309</v>
      </c>
      <c r="C37" s="99">
        <f>SUMIF(Org!$C$10:Org!$D$602,419100,Org!E$10:Org!E$603)</f>
        <v>152500</v>
      </c>
      <c r="D37" s="99">
        <f>SUMIF(Org!$C$10:Org!$D$602,419100,Org!F$10:Org!F$603)</f>
        <v>-25900</v>
      </c>
      <c r="E37" s="99">
        <f>SUMIF(Org!$C$10:Org!$D$602,419100,Org!G$10:Org!G$603)</f>
        <v>126600</v>
      </c>
      <c r="F37" s="127">
        <f t="shared" si="0"/>
        <v>83.01639344262296</v>
      </c>
      <c r="G37" s="346">
        <f t="shared" si="1"/>
        <v>0.44027722859047635</v>
      </c>
      <c r="H37" s="1"/>
      <c r="I37" s="1"/>
      <c r="J37" s="2"/>
      <c r="K37" s="2"/>
      <c r="L37" s="2"/>
      <c r="M37" s="2"/>
    </row>
    <row r="38" spans="1:13" ht="17.25" customHeight="1">
      <c r="A38" s="291">
        <v>480000</v>
      </c>
      <c r="B38" s="270" t="s">
        <v>329</v>
      </c>
      <c r="C38" s="60">
        <f>SUM(C39:C42)</f>
        <v>266500</v>
      </c>
      <c r="D38" s="60">
        <f>SUM(D39:D42)</f>
        <v>0</v>
      </c>
      <c r="E38" s="60">
        <f>SUM(E39:E42)</f>
        <v>266500</v>
      </c>
      <c r="F38" s="60">
        <f t="shared" si="0"/>
        <v>100</v>
      </c>
      <c r="G38" s="190">
        <f t="shared" si="1"/>
        <v>0.9268079101055448</v>
      </c>
      <c r="H38" s="1"/>
      <c r="I38" s="1"/>
      <c r="J38" s="2"/>
      <c r="K38" s="2"/>
      <c r="L38" s="2"/>
      <c r="M38" s="2"/>
    </row>
    <row r="39" spans="1:13" ht="12.75">
      <c r="A39" s="299">
        <v>487200</v>
      </c>
      <c r="B39" s="171" t="s">
        <v>354</v>
      </c>
      <c r="C39" s="99">
        <f>SUMIF(Org!$C$10:Org!$D$602,487200,Org!E$10:Org!E$603)</f>
        <v>6000</v>
      </c>
      <c r="D39" s="99">
        <f>SUMIF(Org!$C$10:Org!$D$602,487200,Org!F$10:Org!F$603)</f>
        <v>0</v>
      </c>
      <c r="E39" s="99">
        <f>SUMIF(Org!$C$10:Org!$D$602,487200,Org!G$10:Org!G$603)</f>
        <v>6000</v>
      </c>
      <c r="F39" s="127">
        <f t="shared" si="0"/>
        <v>100</v>
      </c>
      <c r="G39" s="346">
        <f t="shared" si="1"/>
        <v>0.020866219364477554</v>
      </c>
      <c r="I39" s="1"/>
      <c r="J39" s="2"/>
      <c r="K39" s="2"/>
      <c r="L39" s="2"/>
      <c r="M39" s="2"/>
    </row>
    <row r="40" spans="1:13" ht="12.75">
      <c r="A40" s="299">
        <v>487300</v>
      </c>
      <c r="B40" s="171" t="s">
        <v>351</v>
      </c>
      <c r="C40" s="99">
        <f>SUMIF(Org!$C$10:Org!$D$602,487300,Org!E$10:Org!E$603)</f>
        <v>1000</v>
      </c>
      <c r="D40" s="99">
        <f>SUMIF(Org!$C$10:Org!$D$602,487300,Org!F$10:Org!F$603)</f>
        <v>0</v>
      </c>
      <c r="E40" s="99">
        <f>SUMIF(Org!$C$10:Org!$D$602,487300,Org!G$10:Org!G$603)</f>
        <v>1000</v>
      </c>
      <c r="F40" s="127">
        <f t="shared" si="0"/>
        <v>100</v>
      </c>
      <c r="G40" s="346">
        <f t="shared" si="1"/>
        <v>0.0034777032274129253</v>
      </c>
      <c r="I40" s="1"/>
      <c r="J40" s="2"/>
      <c r="K40" s="2"/>
      <c r="L40" s="2"/>
      <c r="M40" s="2"/>
    </row>
    <row r="41" spans="1:13" ht="12.75">
      <c r="A41" s="274">
        <v>487400</v>
      </c>
      <c r="B41" s="93" t="s">
        <v>328</v>
      </c>
      <c r="C41" s="99">
        <f>SUMIF(Org!$C$10:Org!$D$602,487400,Org!E$10:Org!E$603)</f>
        <v>203000</v>
      </c>
      <c r="D41" s="99">
        <f>SUMIF(Org!$C$10:Org!$D$602,487400,Org!F$10:Org!F$603)</f>
        <v>0</v>
      </c>
      <c r="E41" s="99">
        <f>SUMIF(Org!$C$10:Org!$D$602,487400,Org!G$10:Org!G$603)</f>
        <v>203000</v>
      </c>
      <c r="F41" s="127">
        <f t="shared" si="0"/>
        <v>100</v>
      </c>
      <c r="G41" s="346">
        <f t="shared" si="1"/>
        <v>0.705973755164824</v>
      </c>
      <c r="I41" s="1"/>
      <c r="J41" s="2"/>
      <c r="K41" s="2"/>
      <c r="L41" s="2"/>
      <c r="M41" s="2"/>
    </row>
    <row r="42" spans="1:13" ht="12.75">
      <c r="A42" s="274">
        <v>487900</v>
      </c>
      <c r="B42" s="93" t="s">
        <v>340</v>
      </c>
      <c r="C42" s="99">
        <f>SUMIF(Org!$C$10:Org!$D$602,487900,Org!E$10:Org!E$603)</f>
        <v>56500</v>
      </c>
      <c r="D42" s="99">
        <f>SUMIF(Org!$C$10:Org!$D$602,487900,Org!F$10:Org!F$603)</f>
        <v>0</v>
      </c>
      <c r="E42" s="99">
        <f>SUMIF(Org!$C$10:Org!$D$602,487900,Org!G$10:Org!G$603)</f>
        <v>56500</v>
      </c>
      <c r="F42" s="127">
        <f t="shared" si="0"/>
        <v>100</v>
      </c>
      <c r="G42" s="346">
        <f t="shared" si="1"/>
        <v>0.1964902323488303</v>
      </c>
      <c r="I42" s="1"/>
      <c r="J42" s="2"/>
      <c r="K42" s="2"/>
      <c r="L42" s="2"/>
      <c r="M42" s="2"/>
    </row>
    <row r="43" spans="1:13" ht="19.5" customHeight="1">
      <c r="A43" s="291" t="s">
        <v>190</v>
      </c>
      <c r="B43" s="300" t="s">
        <v>311</v>
      </c>
      <c r="C43" s="60">
        <f>Org!E603</f>
        <v>210000</v>
      </c>
      <c r="D43" s="60">
        <f>Org!F603</f>
        <v>-130057.77</v>
      </c>
      <c r="E43" s="60">
        <f>Org!G603</f>
        <v>79942.23</v>
      </c>
      <c r="F43" s="60">
        <f t="shared" si="0"/>
        <v>38.067728571428574</v>
      </c>
      <c r="G43" s="190">
        <f t="shared" si="1"/>
        <v>0.27801535127758636</v>
      </c>
      <c r="H43" s="1"/>
      <c r="I43" s="1"/>
      <c r="J43" s="2"/>
      <c r="K43" s="2"/>
      <c r="L43" s="2"/>
      <c r="M43" s="2"/>
    </row>
    <row r="44" spans="1:13" ht="17.25" customHeight="1">
      <c r="A44" s="301">
        <v>510000</v>
      </c>
      <c r="B44" s="104" t="s">
        <v>337</v>
      </c>
      <c r="C44" s="53">
        <f>C45+C51+C54</f>
        <v>7704700</v>
      </c>
      <c r="D44" s="53">
        <f>D45+D51+D54</f>
        <v>1289620</v>
      </c>
      <c r="E44" s="53">
        <f>E45+E51+E54</f>
        <v>8994320</v>
      </c>
      <c r="F44" s="53">
        <f t="shared" si="0"/>
        <v>116.73809492906928</v>
      </c>
      <c r="G44" s="290">
        <f t="shared" si="1"/>
        <v>31.279575692384626</v>
      </c>
      <c r="H44" s="1"/>
      <c r="I44" s="1"/>
      <c r="J44" s="2"/>
      <c r="K44" s="2"/>
      <c r="L44" s="2"/>
      <c r="M44" s="2"/>
    </row>
    <row r="45" spans="1:13" ht="15.75" customHeight="1">
      <c r="A45" s="292">
        <v>511000</v>
      </c>
      <c r="B45" s="296" t="s">
        <v>137</v>
      </c>
      <c r="C45" s="66">
        <f>SUM(C46:C50)</f>
        <v>7486700</v>
      </c>
      <c r="D45" s="66">
        <f>SUM(D46:D50)</f>
        <v>1286203</v>
      </c>
      <c r="E45" s="66">
        <f>SUM(E46:E50)</f>
        <v>8772903</v>
      </c>
      <c r="F45" s="67">
        <f t="shared" si="0"/>
        <v>117.17983891434143</v>
      </c>
      <c r="G45" s="256">
        <f t="shared" si="1"/>
        <v>30.509553076880536</v>
      </c>
      <c r="I45" s="1"/>
      <c r="J45" s="2"/>
      <c r="K45" s="2"/>
      <c r="L45" s="2"/>
      <c r="M45" s="2"/>
    </row>
    <row r="46" spans="1:13" ht="12.75" customHeight="1">
      <c r="A46" s="273">
        <v>511100</v>
      </c>
      <c r="B46" s="130" t="s">
        <v>138</v>
      </c>
      <c r="C46" s="275">
        <f>SUMIF(Org!$C$10:Org!$D$602,511100,Org!E$10:Org!E$602)</f>
        <v>0</v>
      </c>
      <c r="D46" s="275">
        <f>SUMIF(Org!$C$10:Org!$D$602,511100,Org!F$10:Org!F$602)</f>
        <v>0</v>
      </c>
      <c r="E46" s="275">
        <f>SUMIF(Org!$C$10:Org!$D$602,511100,Org!G$10:Org!G$602)</f>
        <v>0</v>
      </c>
      <c r="F46" s="127" t="e">
        <f t="shared" si="0"/>
        <v>#DIV/0!</v>
      </c>
      <c r="G46" s="346">
        <f t="shared" si="1"/>
        <v>0</v>
      </c>
      <c r="H46" s="1"/>
      <c r="I46" s="1"/>
      <c r="J46" s="2"/>
      <c r="K46" s="2"/>
      <c r="L46" s="2"/>
      <c r="M46" s="2"/>
    </row>
    <row r="47" spans="1:13" ht="27" customHeight="1">
      <c r="A47" s="274">
        <v>511200</v>
      </c>
      <c r="B47" s="93" t="s">
        <v>139</v>
      </c>
      <c r="C47" s="275">
        <f>SUMIF(Org!$C$10:Org!$D$602,511200,Org!E$10:Org!E$602)</f>
        <v>7026000</v>
      </c>
      <c r="D47" s="275">
        <f>SUMIF(Org!$C$10:Org!$D$602,511200,Org!F$10:Org!F$602)</f>
        <v>1085300</v>
      </c>
      <c r="E47" s="275">
        <f>SUMIF(Org!$C$10:Org!$D$602,511200,Org!G$10:Org!G$602)</f>
        <v>8111300</v>
      </c>
      <c r="F47" s="127">
        <f t="shared" si="0"/>
        <v>115.44691147167663</v>
      </c>
      <c r="G47" s="346">
        <f t="shared" si="1"/>
        <v>28.208694188514468</v>
      </c>
      <c r="I47" s="1"/>
      <c r="J47" s="2"/>
      <c r="K47" s="2"/>
      <c r="L47" s="2"/>
      <c r="M47" s="2"/>
    </row>
    <row r="48" spans="1:13" ht="12.75" customHeight="1">
      <c r="A48" s="274">
        <v>511300</v>
      </c>
      <c r="B48" s="137" t="s">
        <v>140</v>
      </c>
      <c r="C48" s="275">
        <f>SUMIF(Org!$C$10:Org!$D$602,511300,Org!E$10:Org!E$602)</f>
        <v>450700</v>
      </c>
      <c r="D48" s="275">
        <f>SUMIF(Org!$C$10:Org!$D$602,511300,Org!F$10:Org!F$602)</f>
        <v>200903</v>
      </c>
      <c r="E48" s="275">
        <f>SUMIF(Org!$C$10:Org!$D$602,511300,Org!G$10:Org!G$602)</f>
        <v>651603</v>
      </c>
      <c r="F48" s="127">
        <f t="shared" si="0"/>
        <v>144.57577102285336</v>
      </c>
      <c r="G48" s="346">
        <f t="shared" si="1"/>
        <v>2.2660818560919447</v>
      </c>
      <c r="I48" s="1"/>
      <c r="J48" s="2"/>
      <c r="K48" s="2"/>
      <c r="L48" s="2"/>
      <c r="M48" s="2"/>
    </row>
    <row r="49" spans="1:13" ht="12.75" customHeight="1">
      <c r="A49" s="274">
        <v>511400</v>
      </c>
      <c r="B49" s="137" t="s">
        <v>229</v>
      </c>
      <c r="C49" s="275">
        <f>SUMIF(Org!$C$10:Org!$D$602,511400,Org!E$10:Org!E$602)</f>
        <v>10000</v>
      </c>
      <c r="D49" s="275">
        <f>SUMIF(Org!$C$10:Org!$D$602,511400,Org!F$10:Org!F$602)</f>
        <v>0</v>
      </c>
      <c r="E49" s="275">
        <f>SUMIF(Org!$C$10:Org!$D$602,511400,Org!G$10:Org!G$602)</f>
        <v>10000</v>
      </c>
      <c r="F49" s="127">
        <f t="shared" si="0"/>
        <v>100</v>
      </c>
      <c r="G49" s="346">
        <f t="shared" si="1"/>
        <v>0.03477703227412926</v>
      </c>
      <c r="I49" s="1"/>
      <c r="J49" s="2"/>
      <c r="K49" s="2"/>
      <c r="L49" s="2"/>
      <c r="M49" s="2"/>
    </row>
    <row r="50" spans="1:13" ht="12.75" customHeight="1">
      <c r="A50" s="274">
        <v>511700</v>
      </c>
      <c r="B50" s="137" t="s">
        <v>531</v>
      </c>
      <c r="C50" s="275">
        <f>SUMIF(Org!$C$10:Org!$D$602,511700,Org!E$10:Org!E$602)</f>
        <v>0</v>
      </c>
      <c r="D50" s="275">
        <f>SUMIF(Org!$C$10:Org!$D$602,511700,Org!F$10:Org!F$602)</f>
        <v>0</v>
      </c>
      <c r="E50" s="275">
        <f>SUMIF(Org!$C$10:Org!$D$602,511700,Org!G$10:Org!G$602)</f>
        <v>0</v>
      </c>
      <c r="F50" s="127" t="e">
        <f t="shared" si="0"/>
        <v>#DIV/0!</v>
      </c>
      <c r="G50" s="346">
        <f t="shared" si="1"/>
        <v>0</v>
      </c>
      <c r="I50" s="1"/>
      <c r="J50" s="2"/>
      <c r="K50" s="2"/>
      <c r="L50" s="2"/>
      <c r="M50" s="2"/>
    </row>
    <row r="51" spans="1:13" ht="15.75" customHeight="1">
      <c r="A51" s="302">
        <v>513000</v>
      </c>
      <c r="B51" s="296" t="s">
        <v>164</v>
      </c>
      <c r="C51" s="66">
        <f>SUM(C52:C53)</f>
        <v>150000</v>
      </c>
      <c r="D51" s="66">
        <f>SUM(D52:D53)</f>
        <v>0</v>
      </c>
      <c r="E51" s="66">
        <f>SUM(E52:E53)</f>
        <v>150000</v>
      </c>
      <c r="F51" s="67">
        <f t="shared" si="0"/>
        <v>100</v>
      </c>
      <c r="G51" s="256">
        <f t="shared" si="1"/>
        <v>0.5216554841119388</v>
      </c>
      <c r="H51" s="1"/>
      <c r="I51" s="1"/>
      <c r="J51" s="2"/>
      <c r="K51" s="2"/>
      <c r="L51" s="2"/>
      <c r="M51" s="2"/>
    </row>
    <row r="52" spans="1:13" ht="12.75" customHeight="1">
      <c r="A52" s="274">
        <v>513100</v>
      </c>
      <c r="B52" s="137" t="s">
        <v>165</v>
      </c>
      <c r="C52" s="275">
        <f>SUMIF(Org!$C$10:Org!$D$602,513100,Org!E$10:Org!E$602)</f>
        <v>150000</v>
      </c>
      <c r="D52" s="275">
        <f>SUMIF(Org!$C$10:Org!$D$602,513100,Org!F$10:Org!F$602)</f>
        <v>0</v>
      </c>
      <c r="E52" s="275">
        <f>SUMIF(Org!$C$10:Org!$D$602,513100,Org!G$10:Org!G$602)</f>
        <v>150000</v>
      </c>
      <c r="F52" s="127">
        <f t="shared" si="0"/>
        <v>100</v>
      </c>
      <c r="G52" s="346">
        <f t="shared" si="1"/>
        <v>0.5216554841119388</v>
      </c>
      <c r="I52" s="1"/>
      <c r="J52" s="2"/>
      <c r="K52" s="2"/>
      <c r="L52" s="2"/>
      <c r="M52" s="2"/>
    </row>
    <row r="53" spans="1:13" ht="12.75" customHeight="1" hidden="1">
      <c r="A53" s="274">
        <v>513700</v>
      </c>
      <c r="B53" s="137" t="s">
        <v>532</v>
      </c>
      <c r="C53" s="275">
        <f>SUMIF(Org!$C$10:Org!$D$602,513700,Org!E$10:Org!E$602)</f>
        <v>0</v>
      </c>
      <c r="D53" s="275"/>
      <c r="E53" s="275"/>
      <c r="F53" s="53" t="e">
        <f t="shared" si="0"/>
        <v>#DIV/0!</v>
      </c>
      <c r="G53" s="290">
        <f t="shared" si="1"/>
        <v>0</v>
      </c>
      <c r="I53" s="1"/>
      <c r="J53" s="2"/>
      <c r="K53" s="2"/>
      <c r="L53" s="2"/>
      <c r="M53" s="2"/>
    </row>
    <row r="54" spans="1:13" ht="28.5" customHeight="1">
      <c r="A54" s="302">
        <v>516000</v>
      </c>
      <c r="B54" s="293" t="s">
        <v>278</v>
      </c>
      <c r="C54" s="66">
        <f>SUM(C55)</f>
        <v>68000</v>
      </c>
      <c r="D54" s="66">
        <f>SUM(D55)</f>
        <v>3417</v>
      </c>
      <c r="E54" s="66">
        <f>SUM(E55)</f>
        <v>71417</v>
      </c>
      <c r="F54" s="67">
        <f t="shared" si="0"/>
        <v>105.02499999999999</v>
      </c>
      <c r="G54" s="256">
        <f t="shared" si="1"/>
        <v>0.24836713139214894</v>
      </c>
      <c r="H54" s="1"/>
      <c r="I54" s="1"/>
      <c r="J54" s="2"/>
      <c r="K54" s="2"/>
      <c r="L54" s="2"/>
      <c r="M54" s="2"/>
    </row>
    <row r="55" spans="1:13" ht="24.75" customHeight="1">
      <c r="A55" s="274">
        <v>516100</v>
      </c>
      <c r="B55" s="93" t="s">
        <v>278</v>
      </c>
      <c r="C55" s="275">
        <f>SUMIF(Org!$C$10:Org!$D$602,516100,Org!E$10:Org!E$602)</f>
        <v>68000</v>
      </c>
      <c r="D55" s="275">
        <f>SUMIF(Org!$C$10:Org!$D$602,516100,Org!F$10:Org!F$602)</f>
        <v>3417</v>
      </c>
      <c r="E55" s="275">
        <f>SUMIF(Org!$C$10:Org!$D$602,516100,Org!G$10:Org!G$602)</f>
        <v>71417</v>
      </c>
      <c r="F55" s="127">
        <f t="shared" si="0"/>
        <v>105.02499999999999</v>
      </c>
      <c r="G55" s="346">
        <f t="shared" si="1"/>
        <v>0.24836713139214894</v>
      </c>
      <c r="I55" s="1"/>
      <c r="J55" s="2"/>
      <c r="K55" s="2"/>
      <c r="L55" s="2"/>
      <c r="M55" s="2"/>
    </row>
    <row r="56" spans="1:13" ht="31.5" customHeight="1" thickBot="1">
      <c r="A56" s="303"/>
      <c r="B56" s="107" t="s">
        <v>264</v>
      </c>
      <c r="C56" s="109">
        <f>C4+C44</f>
        <v>26409010</v>
      </c>
      <c r="D56" s="109">
        <f>D4+D44</f>
        <v>2345600</v>
      </c>
      <c r="E56" s="109">
        <f>E4+E44</f>
        <v>28754610.000000004</v>
      </c>
      <c r="F56" s="109">
        <f t="shared" si="0"/>
        <v>108.88181722828688</v>
      </c>
      <c r="G56" s="304">
        <f t="shared" si="1"/>
        <v>100</v>
      </c>
      <c r="H56" s="1"/>
      <c r="I56" s="1"/>
      <c r="J56" s="2"/>
      <c r="K56" s="2"/>
      <c r="L56" s="2"/>
      <c r="M56" s="2"/>
    </row>
    <row r="57" spans="1:13" ht="22.5" customHeight="1" thickTop="1">
      <c r="A57" s="18"/>
      <c r="B57" s="44"/>
      <c r="C57" s="43"/>
      <c r="D57" s="43"/>
      <c r="E57" s="43"/>
      <c r="F57" s="43"/>
      <c r="G57" s="45"/>
      <c r="H57" s="1"/>
      <c r="I57" s="1"/>
      <c r="J57" s="2"/>
      <c r="K57" s="2"/>
      <c r="L57" s="2"/>
      <c r="M57" s="2"/>
    </row>
    <row r="58" spans="1:13" ht="28.5" customHeight="1" hidden="1">
      <c r="A58" s="11"/>
      <c r="B58" s="421"/>
      <c r="C58" s="416"/>
      <c r="D58" s="416" t="s">
        <v>695</v>
      </c>
      <c r="E58" s="416">
        <f>E7+E8+E9+E10+E12+E13+E14+E15+E16+E17+E18+E19+E20+E22+E24+E26+E28+E30+E31+E33+E34+E35+E37+E39+E40+E41+E42+E43+E46+E47+E48+E49+E50+E52+E55</f>
        <v>28754610</v>
      </c>
      <c r="F58" s="12"/>
      <c r="G58" s="415"/>
      <c r="I58" s="1"/>
      <c r="J58" s="2"/>
      <c r="K58" s="2"/>
      <c r="L58" s="2"/>
      <c r="M58" s="2"/>
    </row>
    <row r="59" spans="1:13" ht="11.25" customHeight="1" hidden="1">
      <c r="A59" s="11"/>
      <c r="B59" s="444"/>
      <c r="C59" s="12"/>
      <c r="D59" s="12" t="s">
        <v>696</v>
      </c>
      <c r="E59" s="12">
        <f>Finansiranje!D52</f>
        <v>1705390</v>
      </c>
      <c r="F59" s="12"/>
      <c r="G59" s="415"/>
      <c r="H59" s="1"/>
      <c r="I59" s="1"/>
      <c r="J59" s="400"/>
      <c r="K59" s="2"/>
      <c r="L59" s="2"/>
      <c r="M59" s="2"/>
    </row>
    <row r="60" spans="1:13" ht="18" customHeight="1" hidden="1">
      <c r="A60" s="11"/>
      <c r="B60" s="444"/>
      <c r="C60" s="12"/>
      <c r="D60" s="12"/>
      <c r="E60" s="12">
        <f>E58+E59</f>
        <v>30460000</v>
      </c>
      <c r="F60" s="12"/>
      <c r="G60" s="415"/>
      <c r="H60" s="1"/>
      <c r="I60" s="1"/>
      <c r="J60" s="400"/>
      <c r="K60" s="2"/>
      <c r="L60" s="2"/>
      <c r="M60" s="2"/>
    </row>
    <row r="61" spans="1:13" ht="11.25" customHeight="1">
      <c r="A61" s="11"/>
      <c r="B61" s="444"/>
      <c r="C61" s="12"/>
      <c r="D61" s="12"/>
      <c r="E61" s="12"/>
      <c r="F61" s="12"/>
      <c r="G61" s="415"/>
      <c r="H61" s="1"/>
      <c r="I61" s="1"/>
      <c r="J61" s="400"/>
      <c r="K61" s="2"/>
      <c r="L61" s="2"/>
      <c r="M61" s="2"/>
    </row>
    <row r="62" spans="2:13" ht="15.75" customHeight="1">
      <c r="B62" s="445"/>
      <c r="C62" s="403"/>
      <c r="D62" s="403"/>
      <c r="E62" s="403"/>
      <c r="F62" s="12"/>
      <c r="G62" s="415"/>
      <c r="H62" s="1"/>
      <c r="I62" s="1"/>
      <c r="J62" s="2"/>
      <c r="K62" s="2"/>
      <c r="L62" s="2"/>
      <c r="M62" s="2"/>
    </row>
    <row r="63" spans="2:13" ht="12" customHeight="1">
      <c r="B63" s="445"/>
      <c r="C63" s="403"/>
      <c r="D63" s="403"/>
      <c r="E63" s="403"/>
      <c r="F63" s="12"/>
      <c r="G63" s="415"/>
      <c r="H63" s="1"/>
      <c r="I63" s="1"/>
      <c r="J63" s="2"/>
      <c r="K63" s="2"/>
      <c r="L63" s="2"/>
      <c r="M63" s="2"/>
    </row>
    <row r="64" spans="2:13" ht="10.5" customHeight="1">
      <c r="B64" s="445"/>
      <c r="C64" s="403"/>
      <c r="D64" s="403"/>
      <c r="E64" s="403"/>
      <c r="F64" s="33"/>
      <c r="G64" s="415"/>
      <c r="I64" s="1"/>
      <c r="J64" s="2"/>
      <c r="K64" s="2"/>
      <c r="L64" s="2"/>
      <c r="M64" s="2"/>
    </row>
    <row r="65" spans="2:13" ht="12.75" customHeight="1">
      <c r="B65" s="2"/>
      <c r="C65" s="2"/>
      <c r="D65" s="2"/>
      <c r="E65" s="2"/>
      <c r="I65" s="2"/>
      <c r="J65" s="2"/>
      <c r="K65" s="2"/>
      <c r="L65" s="2"/>
      <c r="M65" s="2"/>
    </row>
    <row r="66" spans="2:13" ht="12.75" customHeight="1">
      <c r="B66" s="2"/>
      <c r="C66" s="400"/>
      <c r="D66" s="400"/>
      <c r="E66" s="400"/>
      <c r="F66" s="1"/>
      <c r="I66" s="2"/>
      <c r="J66" s="2"/>
      <c r="K66" s="2"/>
      <c r="L66" s="2"/>
      <c r="M66" s="2"/>
    </row>
    <row r="67" spans="2:13" ht="12.75" customHeight="1">
      <c r="B67" s="404"/>
      <c r="C67" s="403"/>
      <c r="D67" s="403"/>
      <c r="E67" s="403"/>
      <c r="I67" s="2"/>
      <c r="J67" s="2"/>
      <c r="K67" s="2"/>
      <c r="L67" s="2"/>
      <c r="M67" s="2"/>
    </row>
    <row r="68" spans="2:13" ht="12.75" customHeight="1">
      <c r="B68" s="404"/>
      <c r="C68" s="403"/>
      <c r="D68" s="403"/>
      <c r="E68" s="403"/>
      <c r="I68" s="2"/>
      <c r="J68" s="2"/>
      <c r="K68" s="2"/>
      <c r="L68" s="2"/>
      <c r="M68" s="2"/>
    </row>
    <row r="69" spans="2:13" ht="12.75" customHeight="1">
      <c r="B69" s="2"/>
      <c r="C69" s="400"/>
      <c r="D69" s="400"/>
      <c r="E69" s="400"/>
      <c r="I69" s="2"/>
      <c r="J69" s="2"/>
      <c r="K69" s="2"/>
      <c r="L69" s="2"/>
      <c r="M69" s="2"/>
    </row>
    <row r="70" ht="8.25" customHeight="1"/>
    <row r="71" spans="2:5" ht="12.75" customHeight="1" hidden="1">
      <c r="B71" s="387" t="s">
        <v>605</v>
      </c>
      <c r="C71" s="1">
        <f>C7+C8+C9+C10+C12+C13+C14+C15+C16+C17+C18+C19+C20+C22+C24+C26+C28+C30+C31+C33+C34+C35+C37+C39+C40+C41+C42+C43+C46+C47+C48+C49+C50+C52+C53+C55</f>
        <v>26409010</v>
      </c>
      <c r="D71" s="1"/>
      <c r="E71" s="1"/>
    </row>
    <row r="72" spans="2:5" ht="12.75" customHeight="1" hidden="1">
      <c r="B72" s="387" t="s">
        <v>606</v>
      </c>
      <c r="C72" s="1">
        <f>Finansiranje!C10+Finansiranje!C16+Finansiranje!C17+Finansiranje!C19+Finansiranje!C30+Finansiranje!C31+Finansiranje!C32+Finansiranje!C35+Finansiranje!C36</f>
        <v>1390990</v>
      </c>
      <c r="D72" s="1"/>
      <c r="E72" s="1"/>
    </row>
    <row r="73" spans="3:5" ht="12.75" customHeight="1" hidden="1">
      <c r="C73" s="1">
        <f>SUM(C71:C72)</f>
        <v>27800000</v>
      </c>
      <c r="D73" s="1"/>
      <c r="E73" s="1"/>
    </row>
  </sheetData>
  <sheetProtection/>
  <mergeCells count="1">
    <mergeCell ref="A1:G1"/>
  </mergeCells>
  <printOptions horizontalCentered="1"/>
  <pageMargins left="0.15748031496062992" right="0.15748031496062992" top="0.5118110236220472" bottom="0.4330708661417323" header="0.3937007874015748" footer="0.1968503937007874"/>
  <pageSetup horizontalDpi="600" verticalDpi="600" orientation="landscape" paperSize="9" r:id="rId1"/>
  <headerFooter alignWithMargins="0">
    <oddFooter>&amp;R&amp;P</oddFooter>
  </headerFooter>
  <rowBreaks count="2" manualBreakCount="2">
    <brk id="30" max="6" man="1"/>
    <brk id="5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49"/>
  <sheetViews>
    <sheetView zoomScale="106" zoomScaleNormal="106" zoomScalePageLayoutView="0" workbookViewId="0" topLeftCell="A1">
      <pane xSplit="2" ySplit="4" topLeftCell="C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8" sqref="C58"/>
    </sheetView>
  </sheetViews>
  <sheetFormatPr defaultColWidth="9.140625" defaultRowHeight="12.75"/>
  <cols>
    <col min="1" max="1" width="12.8515625" style="0" customWidth="1"/>
    <col min="2" max="2" width="69.57421875" style="0" customWidth="1"/>
    <col min="3" max="3" width="18.421875" style="0" customWidth="1"/>
    <col min="4" max="4" width="19.00390625" style="0" customWidth="1"/>
    <col min="5" max="5" width="18.7109375" style="0" customWidth="1"/>
  </cols>
  <sheetData>
    <row r="1" spans="1:3" ht="39.75" customHeight="1" thickBot="1">
      <c r="A1" s="502" t="s">
        <v>640</v>
      </c>
      <c r="B1" s="502"/>
      <c r="C1" s="502"/>
    </row>
    <row r="2" spans="1:5" ht="18.75" customHeight="1" thickTop="1">
      <c r="A2" s="478" t="s">
        <v>57</v>
      </c>
      <c r="B2" s="480" t="s">
        <v>203</v>
      </c>
      <c r="C2" s="503" t="s">
        <v>500</v>
      </c>
      <c r="D2" s="505" t="s">
        <v>638</v>
      </c>
      <c r="E2" s="500" t="s">
        <v>634</v>
      </c>
    </row>
    <row r="3" spans="1:5" ht="44.25" customHeight="1">
      <c r="A3" s="479"/>
      <c r="B3" s="481"/>
      <c r="C3" s="504"/>
      <c r="D3" s="506"/>
      <c r="E3" s="501"/>
    </row>
    <row r="4" spans="1:5" s="5" customFormat="1" ht="12.75" customHeight="1">
      <c r="A4" s="115">
        <v>1</v>
      </c>
      <c r="B4" s="112">
        <v>2</v>
      </c>
      <c r="C4" s="427">
        <v>3</v>
      </c>
      <c r="D4" s="430" t="s">
        <v>639</v>
      </c>
      <c r="E4" s="431">
        <v>5</v>
      </c>
    </row>
    <row r="5" spans="1:5" ht="12.75">
      <c r="A5" s="267"/>
      <c r="B5" s="268"/>
      <c r="C5" s="428"/>
      <c r="D5" s="429"/>
      <c r="E5" s="432"/>
    </row>
    <row r="6" spans="1:5" ht="21" customHeight="1">
      <c r="A6" s="269"/>
      <c r="B6" s="270" t="s">
        <v>260</v>
      </c>
      <c r="C6" s="60">
        <f>C7-C9</f>
        <v>37000</v>
      </c>
      <c r="D6" s="60">
        <f>D7-D9</f>
        <v>-37000</v>
      </c>
      <c r="E6" s="173">
        <f>E7-E9</f>
        <v>0</v>
      </c>
    </row>
    <row r="7" spans="1:5" ht="16.5" customHeight="1">
      <c r="A7" s="271">
        <v>910000</v>
      </c>
      <c r="B7" s="272" t="s">
        <v>254</v>
      </c>
      <c r="C7" s="67">
        <f>SUM(C8)</f>
        <v>37000</v>
      </c>
      <c r="D7" s="67">
        <f>SUM(D8)</f>
        <v>-37000</v>
      </c>
      <c r="E7" s="69">
        <f>SUM(E8)</f>
        <v>0</v>
      </c>
    </row>
    <row r="8" spans="1:5" ht="18" customHeight="1">
      <c r="A8" s="299">
        <v>911400</v>
      </c>
      <c r="B8" s="171" t="s">
        <v>572</v>
      </c>
      <c r="C8" s="73">
        <v>37000</v>
      </c>
      <c r="D8" s="73">
        <f>E8-C8</f>
        <v>-37000</v>
      </c>
      <c r="E8" s="75">
        <v>0</v>
      </c>
    </row>
    <row r="9" spans="1:5" ht="18" customHeight="1">
      <c r="A9" s="271">
        <v>610000</v>
      </c>
      <c r="B9" s="272" t="s">
        <v>256</v>
      </c>
      <c r="C9" s="67">
        <f>SUM(C10)</f>
        <v>0</v>
      </c>
      <c r="D9" s="67">
        <f>SUM(D10)</f>
        <v>0</v>
      </c>
      <c r="E9" s="69">
        <f>SUM(E10)</f>
        <v>0</v>
      </c>
    </row>
    <row r="10" spans="1:5" ht="17.25" customHeight="1">
      <c r="A10" s="273">
        <v>611000</v>
      </c>
      <c r="B10" s="171" t="s">
        <v>257</v>
      </c>
      <c r="C10" s="73">
        <f>Org!E452</f>
        <v>0</v>
      </c>
      <c r="D10" s="73">
        <f>Org!F452</f>
        <v>0</v>
      </c>
      <c r="E10" s="75">
        <f>Org!G452</f>
        <v>0</v>
      </c>
    </row>
    <row r="11" spans="1:5" ht="15.75" customHeight="1">
      <c r="A11" s="273"/>
      <c r="B11" s="270" t="s">
        <v>277</v>
      </c>
      <c r="C11" s="60">
        <f>C12-C14</f>
        <v>3878000</v>
      </c>
      <c r="D11" s="60">
        <f>D12-D14</f>
        <v>17000</v>
      </c>
      <c r="E11" s="173">
        <f>E12-E14</f>
        <v>3895000</v>
      </c>
    </row>
    <row r="12" spans="1:5" ht="18" customHeight="1">
      <c r="A12" s="271">
        <v>920000</v>
      </c>
      <c r="B12" s="272" t="s">
        <v>261</v>
      </c>
      <c r="C12" s="67">
        <f>C13</f>
        <v>5000000</v>
      </c>
      <c r="D12" s="67">
        <f>D13</f>
        <v>0</v>
      </c>
      <c r="E12" s="69">
        <f>E13</f>
        <v>5000000</v>
      </c>
    </row>
    <row r="13" spans="1:5" ht="17.25" customHeight="1">
      <c r="A13" s="299">
        <v>921200</v>
      </c>
      <c r="B13" s="80" t="s">
        <v>293</v>
      </c>
      <c r="C13" s="73">
        <v>5000000</v>
      </c>
      <c r="D13" s="73">
        <f>E13-C13</f>
        <v>0</v>
      </c>
      <c r="E13" s="75">
        <v>5000000</v>
      </c>
    </row>
    <row r="14" spans="1:5" ht="17.25" customHeight="1">
      <c r="A14" s="271">
        <v>620000</v>
      </c>
      <c r="B14" s="272" t="s">
        <v>259</v>
      </c>
      <c r="C14" s="67">
        <f>C15+C18</f>
        <v>1122000</v>
      </c>
      <c r="D14" s="67">
        <f>D15+D18</f>
        <v>-17000</v>
      </c>
      <c r="E14" s="69">
        <f>E15+E18</f>
        <v>1105000</v>
      </c>
    </row>
    <row r="15" spans="1:5" ht="17.25" customHeight="1">
      <c r="A15" s="271">
        <v>621000</v>
      </c>
      <c r="B15" s="91" t="s">
        <v>141</v>
      </c>
      <c r="C15" s="85">
        <f>SUM(C16:C17)</f>
        <v>925000</v>
      </c>
      <c r="D15" s="85">
        <f>SUM(D16:D17)</f>
        <v>0</v>
      </c>
      <c r="E15" s="468">
        <f>SUM(E16:E17)</f>
        <v>925000</v>
      </c>
    </row>
    <row r="16" spans="1:5" ht="16.5" customHeight="1">
      <c r="A16" s="372">
        <v>621300</v>
      </c>
      <c r="B16" s="93" t="s">
        <v>149</v>
      </c>
      <c r="C16" s="275">
        <f>SUMIF(Org!$C$10:$D$596,621300,Org!E$10:E$596)</f>
        <v>900000</v>
      </c>
      <c r="D16" s="275">
        <f>SUMIF(Org!$C$10:$D$596,621300,Org!F$10:F$596)</f>
        <v>0</v>
      </c>
      <c r="E16" s="276">
        <f>SUMIF(Org!$C$10:$D$596,621300,Org!G$10:G$596)</f>
        <v>900000</v>
      </c>
    </row>
    <row r="17" spans="1:5" ht="15.75" customHeight="1">
      <c r="A17" s="274">
        <v>621900</v>
      </c>
      <c r="B17" s="93" t="s">
        <v>295</v>
      </c>
      <c r="C17" s="275">
        <f>SUMIF(Org!$C$10:$D$596,621900,Org!E$10:E$596)</f>
        <v>25000</v>
      </c>
      <c r="D17" s="275">
        <f>SUMIF(Org!$C$10:$D$596,621900,Org!F$10:F$596)</f>
        <v>0</v>
      </c>
      <c r="E17" s="276">
        <f>SUMIF(Org!$C$10:$D$596,621900,Org!G$10:G$596)</f>
        <v>25000</v>
      </c>
    </row>
    <row r="18" spans="1:5" ht="15.75" customHeight="1">
      <c r="A18" s="271">
        <v>628000</v>
      </c>
      <c r="B18" s="148" t="s">
        <v>394</v>
      </c>
      <c r="C18" s="88">
        <f>SUM(C19)</f>
        <v>197000</v>
      </c>
      <c r="D18" s="88">
        <f>SUM(D19)</f>
        <v>-17000</v>
      </c>
      <c r="E18" s="469">
        <f>SUM(E19)</f>
        <v>180000</v>
      </c>
    </row>
    <row r="19" spans="1:5" ht="15.75" customHeight="1">
      <c r="A19" s="274">
        <v>628100</v>
      </c>
      <c r="B19" s="93" t="s">
        <v>397</v>
      </c>
      <c r="C19" s="275">
        <f>SUMIF(Org!$C$10:$D$596,628100,Org!E$10:E$596)</f>
        <v>197000</v>
      </c>
      <c r="D19" s="275">
        <f>SUMIF(Org!$C$10:$D$596,628100,Org!F$10:F$596)</f>
        <v>-17000</v>
      </c>
      <c r="E19" s="276">
        <f>SUMIF(Org!$C$10:$D$596,628100,Org!G$10:G$596)</f>
        <v>180000</v>
      </c>
    </row>
    <row r="20" spans="1:5" ht="20.25" customHeight="1">
      <c r="A20" s="274"/>
      <c r="B20" s="270" t="s">
        <v>331</v>
      </c>
      <c r="C20" s="60">
        <f>C21-C28</f>
        <v>88710</v>
      </c>
      <c r="D20" s="60">
        <f>D21-D28</f>
        <v>-249189.66999999998</v>
      </c>
      <c r="E20" s="173">
        <f>E21-E28</f>
        <v>-160479.66999999998</v>
      </c>
    </row>
    <row r="21" spans="1:5" ht="15.75" customHeight="1">
      <c r="A21" s="271">
        <v>930000</v>
      </c>
      <c r="B21" s="272" t="s">
        <v>332</v>
      </c>
      <c r="C21" s="67">
        <f>C22+C25</f>
        <v>357700</v>
      </c>
      <c r="D21" s="67">
        <f>D22+D25</f>
        <v>82210.33</v>
      </c>
      <c r="E21" s="69">
        <f>E22+E25</f>
        <v>439910.33</v>
      </c>
    </row>
    <row r="22" spans="1:5" ht="17.25" customHeight="1">
      <c r="A22" s="271">
        <v>931000</v>
      </c>
      <c r="B22" s="91" t="s">
        <v>316</v>
      </c>
      <c r="C22" s="85">
        <f>SUM(C23:C24)</f>
        <v>28400</v>
      </c>
      <c r="D22" s="85">
        <f>SUM(D23:D24)</f>
        <v>82210.33</v>
      </c>
      <c r="E22" s="468">
        <f>SUM(E23:E24)</f>
        <v>110610.33</v>
      </c>
    </row>
    <row r="23" spans="1:5" ht="16.5" customHeight="1">
      <c r="A23" s="299">
        <v>931100</v>
      </c>
      <c r="B23" s="171" t="s">
        <v>573</v>
      </c>
      <c r="C23" s="73">
        <v>28400</v>
      </c>
      <c r="D23" s="73">
        <f>E23-C23</f>
        <v>0</v>
      </c>
      <c r="E23" s="75">
        <v>28400</v>
      </c>
    </row>
    <row r="24" spans="1:5" ht="22.5" customHeight="1">
      <c r="A24" s="299">
        <v>931900</v>
      </c>
      <c r="B24" s="171" t="s">
        <v>682</v>
      </c>
      <c r="C24" s="73">
        <v>0</v>
      </c>
      <c r="D24" s="73">
        <f>E24-C24</f>
        <v>82210.33</v>
      </c>
      <c r="E24" s="75">
        <v>82210.33</v>
      </c>
    </row>
    <row r="25" spans="1:5" ht="20.25" customHeight="1">
      <c r="A25" s="271">
        <v>938000</v>
      </c>
      <c r="B25" s="278" t="s">
        <v>360</v>
      </c>
      <c r="C25" s="86">
        <f>SUM(C26:C27)</f>
        <v>329300</v>
      </c>
      <c r="D25" s="86">
        <f>SUM(D26:D27)</f>
        <v>0</v>
      </c>
      <c r="E25" s="87">
        <f>SUM(E26:E27)</f>
        <v>329300</v>
      </c>
    </row>
    <row r="26" spans="1:5" ht="25.5">
      <c r="A26" s="274">
        <v>938100</v>
      </c>
      <c r="B26" s="80" t="s">
        <v>361</v>
      </c>
      <c r="C26" s="99">
        <v>270000</v>
      </c>
      <c r="D26" s="99">
        <f>E26-C26</f>
        <v>0</v>
      </c>
      <c r="E26" s="100">
        <v>270000</v>
      </c>
    </row>
    <row r="27" spans="1:5" ht="25.5">
      <c r="A27" s="372">
        <v>938100</v>
      </c>
      <c r="B27" s="80" t="s">
        <v>574</v>
      </c>
      <c r="C27" s="99">
        <v>59300</v>
      </c>
      <c r="D27" s="99">
        <f>E27-C27</f>
        <v>0</v>
      </c>
      <c r="E27" s="100">
        <v>59300</v>
      </c>
    </row>
    <row r="28" spans="1:5" ht="15.75" customHeight="1">
      <c r="A28" s="271">
        <v>630000</v>
      </c>
      <c r="B28" s="272" t="s">
        <v>333</v>
      </c>
      <c r="C28" s="67">
        <f>C29+C34</f>
        <v>268990</v>
      </c>
      <c r="D28" s="67">
        <f>D29+D34</f>
        <v>331400</v>
      </c>
      <c r="E28" s="69">
        <f>E29+E34</f>
        <v>600390</v>
      </c>
    </row>
    <row r="29" spans="1:5" ht="15.75" customHeight="1">
      <c r="A29" s="271">
        <v>631000</v>
      </c>
      <c r="B29" s="278" t="s">
        <v>318</v>
      </c>
      <c r="C29" s="86">
        <f>SUM(C30:C33)</f>
        <v>43600</v>
      </c>
      <c r="D29" s="86">
        <f>SUM(D30:D33)</f>
        <v>296900</v>
      </c>
      <c r="E29" s="87">
        <f>SUM(E30:E33)</f>
        <v>340500</v>
      </c>
    </row>
    <row r="30" spans="1:5" ht="15.75" customHeight="1">
      <c r="A30" s="389">
        <v>631100</v>
      </c>
      <c r="B30" s="359" t="s">
        <v>575</v>
      </c>
      <c r="C30" s="127">
        <f>Org!E460</f>
        <v>35000</v>
      </c>
      <c r="D30" s="127">
        <f>Org!F460</f>
        <v>0</v>
      </c>
      <c r="E30" s="341">
        <f>Org!G460</f>
        <v>35000</v>
      </c>
    </row>
    <row r="31" spans="1:5" ht="15.75" customHeight="1">
      <c r="A31" s="277">
        <v>631300</v>
      </c>
      <c r="B31" s="171" t="s">
        <v>424</v>
      </c>
      <c r="C31" s="73">
        <f>Org!E594+Org!E595</f>
        <v>5500</v>
      </c>
      <c r="D31" s="73">
        <f>Org!F594+Org!F595</f>
        <v>83900</v>
      </c>
      <c r="E31" s="75">
        <f>Org!G594+Org!G595</f>
        <v>89400</v>
      </c>
    </row>
    <row r="32" spans="1:5" ht="28.5" customHeight="1">
      <c r="A32" s="274">
        <v>631900</v>
      </c>
      <c r="B32" s="80" t="s">
        <v>364</v>
      </c>
      <c r="C32" s="99">
        <f>Org!E596</f>
        <v>3100</v>
      </c>
      <c r="D32" s="99">
        <f>Org!F596</f>
        <v>10000</v>
      </c>
      <c r="E32" s="100">
        <f>Org!G596</f>
        <v>13100</v>
      </c>
    </row>
    <row r="33" spans="1:5" ht="20.25" customHeight="1">
      <c r="A33" s="274">
        <v>631900</v>
      </c>
      <c r="B33" s="80" t="s">
        <v>668</v>
      </c>
      <c r="C33" s="99">
        <f>Org!E461</f>
        <v>0</v>
      </c>
      <c r="D33" s="99">
        <f>Org!F461</f>
        <v>203000</v>
      </c>
      <c r="E33" s="100">
        <f>Org!G461</f>
        <v>203000</v>
      </c>
    </row>
    <row r="34" spans="1:5" ht="15.75" customHeight="1">
      <c r="A34" s="271">
        <v>638000</v>
      </c>
      <c r="B34" s="91" t="s">
        <v>355</v>
      </c>
      <c r="C34" s="85">
        <f>SUM(C35:C36)</f>
        <v>225390</v>
      </c>
      <c r="D34" s="85">
        <f>SUM(D35:D36)</f>
        <v>34500</v>
      </c>
      <c r="E34" s="468">
        <f>SUM(E35:E36)</f>
        <v>259890</v>
      </c>
    </row>
    <row r="35" spans="1:5" ht="25.5">
      <c r="A35" s="274">
        <v>638100</v>
      </c>
      <c r="B35" s="80" t="s">
        <v>324</v>
      </c>
      <c r="C35" s="99">
        <f>SUMIF(Org!$C$10:$D$596,638100,Org!E$10:E$596)</f>
        <v>223000</v>
      </c>
      <c r="D35" s="99">
        <f>SUMIF(Org!$C$10:$D$596,638100,Org!F$10:F$596)</f>
        <v>29500</v>
      </c>
      <c r="E35" s="100">
        <f>SUMIF(Org!$C$10:$D$596,638100,Org!G$10:G$596)</f>
        <v>252500</v>
      </c>
    </row>
    <row r="36" spans="1:5" ht="25.5">
      <c r="A36" s="274">
        <v>638100</v>
      </c>
      <c r="B36" s="93" t="s">
        <v>362</v>
      </c>
      <c r="C36" s="99">
        <f>Org!E598</f>
        <v>2390</v>
      </c>
      <c r="D36" s="99">
        <f>Org!F598</f>
        <v>5000</v>
      </c>
      <c r="E36" s="100">
        <f>Org!G598</f>
        <v>7390</v>
      </c>
    </row>
    <row r="37" spans="1:5" ht="18" customHeight="1">
      <c r="A37" s="271"/>
      <c r="B37" s="270" t="s">
        <v>423</v>
      </c>
      <c r="C37" s="60">
        <f>SUM(C40:C48)</f>
        <v>184000</v>
      </c>
      <c r="D37" s="60">
        <f>SUM(D40:D48)</f>
        <v>41020</v>
      </c>
      <c r="E37" s="60">
        <f>SUM(E40:E48)</f>
        <v>225020</v>
      </c>
    </row>
    <row r="38" spans="1:5" ht="25.5" hidden="1">
      <c r="A38" s="279" t="s">
        <v>292</v>
      </c>
      <c r="B38" s="280" t="s">
        <v>391</v>
      </c>
      <c r="C38" s="275"/>
      <c r="D38" s="275"/>
      <c r="E38" s="276"/>
    </row>
    <row r="39" spans="1:5" ht="38.25" hidden="1">
      <c r="A39" s="281" t="s">
        <v>292</v>
      </c>
      <c r="B39" s="93" t="s">
        <v>380</v>
      </c>
      <c r="C39" s="275"/>
      <c r="D39" s="275"/>
      <c r="E39" s="276"/>
    </row>
    <row r="40" spans="1:5" ht="15" customHeight="1">
      <c r="A40" s="281" t="s">
        <v>292</v>
      </c>
      <c r="B40" s="93" t="s">
        <v>298</v>
      </c>
      <c r="C40" s="275">
        <v>100000</v>
      </c>
      <c r="D40" s="275">
        <f>E40-C40</f>
        <v>0</v>
      </c>
      <c r="E40" s="276">
        <v>100000</v>
      </c>
    </row>
    <row r="41" spans="1:5" ht="26.25" customHeight="1">
      <c r="A41" s="281" t="s">
        <v>292</v>
      </c>
      <c r="B41" s="93" t="s">
        <v>299</v>
      </c>
      <c r="C41" s="275">
        <v>78000</v>
      </c>
      <c r="D41" s="275">
        <f aca="true" t="shared" si="0" ref="D41:D48">E41-C41</f>
        <v>0</v>
      </c>
      <c r="E41" s="276">
        <v>78000</v>
      </c>
    </row>
    <row r="42" spans="1:5" ht="12.75" customHeight="1">
      <c r="A42" s="281" t="s">
        <v>292</v>
      </c>
      <c r="B42" s="93" t="s">
        <v>456</v>
      </c>
      <c r="C42" s="99">
        <v>6000</v>
      </c>
      <c r="D42" s="275">
        <f t="shared" si="0"/>
        <v>0</v>
      </c>
      <c r="E42" s="100">
        <v>6000</v>
      </c>
    </row>
    <row r="43" spans="1:5" ht="26.25" customHeight="1" hidden="1">
      <c r="A43" s="281" t="s">
        <v>292</v>
      </c>
      <c r="B43" s="283" t="s">
        <v>447</v>
      </c>
      <c r="C43" s="275"/>
      <c r="D43" s="275">
        <f t="shared" si="0"/>
        <v>0</v>
      </c>
      <c r="E43" s="276"/>
    </row>
    <row r="44" spans="1:5" ht="0.75" customHeight="1" hidden="1">
      <c r="A44" s="281" t="s">
        <v>292</v>
      </c>
      <c r="B44" s="283" t="s">
        <v>417</v>
      </c>
      <c r="C44" s="275"/>
      <c r="D44" s="275">
        <f t="shared" si="0"/>
        <v>0</v>
      </c>
      <c r="E44" s="276"/>
    </row>
    <row r="45" spans="1:5" ht="24.75" customHeight="1" hidden="1">
      <c r="A45" s="281" t="s">
        <v>292</v>
      </c>
      <c r="B45" s="283" t="s">
        <v>453</v>
      </c>
      <c r="C45" s="275"/>
      <c r="D45" s="275">
        <f t="shared" si="0"/>
        <v>0</v>
      </c>
      <c r="E45" s="276"/>
    </row>
    <row r="46" spans="1:5" ht="36.75" customHeight="1">
      <c r="A46" s="281" t="s">
        <v>292</v>
      </c>
      <c r="B46" s="283" t="s">
        <v>671</v>
      </c>
      <c r="C46" s="275">
        <v>0</v>
      </c>
      <c r="D46" s="275">
        <f t="shared" si="0"/>
        <v>25000</v>
      </c>
      <c r="E46" s="276">
        <v>25000</v>
      </c>
    </row>
    <row r="47" spans="1:5" ht="32.25" customHeight="1">
      <c r="A47" s="281" t="s">
        <v>292</v>
      </c>
      <c r="B47" s="93" t="s">
        <v>678</v>
      </c>
      <c r="C47" s="275">
        <v>0</v>
      </c>
      <c r="D47" s="275">
        <f t="shared" si="0"/>
        <v>15000</v>
      </c>
      <c r="E47" s="276">
        <v>15000</v>
      </c>
    </row>
    <row r="48" spans="1:5" ht="32.25" customHeight="1">
      <c r="A48" s="472" t="s">
        <v>292</v>
      </c>
      <c r="B48" s="93" t="s">
        <v>697</v>
      </c>
      <c r="C48" s="282">
        <v>0</v>
      </c>
      <c r="D48" s="275">
        <f t="shared" si="0"/>
        <v>1020</v>
      </c>
      <c r="E48" s="473">
        <v>1020</v>
      </c>
    </row>
    <row r="49" spans="1:5" s="5" customFormat="1" ht="24.75" customHeight="1" thickBot="1">
      <c r="A49" s="284"/>
      <c r="B49" s="285" t="s">
        <v>334</v>
      </c>
      <c r="C49" s="109">
        <f>C6+C11+C20+C37</f>
        <v>4187710</v>
      </c>
      <c r="D49" s="109">
        <f>D6+D11+D20+D37</f>
        <v>-228169.66999999998</v>
      </c>
      <c r="E49" s="110">
        <f>E6+E11+E20+E37</f>
        <v>3959540.33</v>
      </c>
    </row>
    <row r="50" spans="1:2" ht="18" customHeight="1" thickTop="1">
      <c r="A50" s="25"/>
      <c r="B50" s="23"/>
    </row>
    <row r="51" spans="1:4" ht="1.5" customHeight="1">
      <c r="A51" s="3"/>
      <c r="B51" s="23" t="s">
        <v>691</v>
      </c>
      <c r="C51" s="1"/>
      <c r="D51" s="1">
        <f>E8+E13+E23+E24+E26+E27+E40+E41+E42+E46+E47+E48</f>
        <v>5664930.33</v>
      </c>
    </row>
    <row r="52" spans="1:4" ht="14.25" customHeight="1" hidden="1">
      <c r="A52" s="3"/>
      <c r="B52" s="23" t="s">
        <v>694</v>
      </c>
      <c r="C52" s="1"/>
      <c r="D52" s="1">
        <f>E10+E16+E17+E19+E30+E31+E32+E33+E35+E36</f>
        <v>1705390</v>
      </c>
    </row>
    <row r="53" spans="1:3" ht="16.5" customHeight="1">
      <c r="A53" s="3"/>
      <c r="B53" s="347"/>
      <c r="C53" s="33"/>
    </row>
    <row r="54" ht="16.5" customHeight="1">
      <c r="A54" s="4"/>
    </row>
    <row r="55" spans="1:3" ht="15.75" customHeight="1">
      <c r="A55" s="26"/>
      <c r="B55" s="26"/>
      <c r="C55" s="1"/>
    </row>
    <row r="56" spans="1:3" ht="12.75">
      <c r="A56" s="26"/>
      <c r="B56" s="26"/>
      <c r="C56" s="1"/>
    </row>
    <row r="57" spans="1:3" ht="17.25" customHeight="1">
      <c r="A57" s="26"/>
      <c r="B57" s="26"/>
      <c r="C57" s="1"/>
    </row>
    <row r="58" spans="1:2" ht="12.75">
      <c r="A58" s="26"/>
      <c r="B58" s="26"/>
    </row>
    <row r="59" spans="1:2" ht="12.75">
      <c r="A59" s="26"/>
      <c r="B59" s="26"/>
    </row>
    <row r="60" spans="1:2" ht="12.75">
      <c r="A60" s="26"/>
      <c r="B60" s="26"/>
    </row>
    <row r="61" spans="1:2" ht="23.25" customHeight="1">
      <c r="A61" s="26"/>
      <c r="B61" s="26"/>
    </row>
    <row r="62" spans="1:2" ht="16.5" customHeight="1">
      <c r="A62" s="26"/>
      <c r="B62" s="26"/>
    </row>
    <row r="63" spans="1:2" ht="12.75">
      <c r="A63" s="26"/>
      <c r="B63" s="26"/>
    </row>
    <row r="64" spans="1:2" ht="12.75">
      <c r="A64" s="26"/>
      <c r="B64" s="26"/>
    </row>
    <row r="65" spans="1:2" ht="15" customHeight="1">
      <c r="A65" s="26"/>
      <c r="B65" s="26"/>
    </row>
    <row r="66" spans="1:2" ht="12.75">
      <c r="A66" s="26"/>
      <c r="B66" s="26"/>
    </row>
    <row r="67" spans="1:2" ht="26.25" customHeight="1">
      <c r="A67" s="26"/>
      <c r="B67" s="26"/>
    </row>
    <row r="68" spans="1:2" ht="12.75">
      <c r="A68" s="26"/>
      <c r="B68" s="26"/>
    </row>
    <row r="69" spans="1:2" ht="12.75">
      <c r="A69" s="26"/>
      <c r="B69" s="26"/>
    </row>
    <row r="70" spans="1:2" ht="12.75">
      <c r="A70" s="26"/>
      <c r="B70" s="26"/>
    </row>
    <row r="71" spans="1:2" ht="12.75">
      <c r="A71" s="26"/>
      <c r="B71" s="26"/>
    </row>
    <row r="72" spans="1:2" ht="12.75">
      <c r="A72" s="26"/>
      <c r="B72" s="26"/>
    </row>
    <row r="73" spans="1:2" ht="12.75">
      <c r="A73" s="26"/>
      <c r="B73" s="26"/>
    </row>
    <row r="74" spans="1:2" ht="15.75" customHeight="1">
      <c r="A74" s="26"/>
      <c r="B74" s="26"/>
    </row>
    <row r="75" spans="1:2" ht="12.75">
      <c r="A75" s="26"/>
      <c r="B75" s="26"/>
    </row>
    <row r="76" spans="1:2" ht="12.75">
      <c r="A76" s="26"/>
      <c r="B76" s="26"/>
    </row>
    <row r="77" spans="1:2" ht="12.75">
      <c r="A77" s="26"/>
      <c r="B77" s="26"/>
    </row>
    <row r="78" spans="1:2" ht="12.75" customHeight="1">
      <c r="A78" s="26"/>
      <c r="B78" s="26"/>
    </row>
    <row r="79" spans="1:2" ht="12.75">
      <c r="A79" s="26"/>
      <c r="B79" s="26"/>
    </row>
    <row r="80" spans="1:2" s="24" customFormat="1" ht="11.25">
      <c r="A80" s="26"/>
      <c r="B80" s="26"/>
    </row>
    <row r="81" spans="1:2" s="24" customFormat="1" ht="11.25">
      <c r="A81" s="26"/>
      <c r="B81" s="26"/>
    </row>
    <row r="82" spans="1:2" s="24" customFormat="1" ht="11.25">
      <c r="A82" s="26"/>
      <c r="B82" s="26"/>
    </row>
    <row r="83" spans="1:2" s="24" customFormat="1" ht="11.25">
      <c r="A83" s="26"/>
      <c r="B83" s="26"/>
    </row>
    <row r="84" spans="1:2" s="24" customFormat="1" ht="11.25">
      <c r="A84" s="26"/>
      <c r="B84" s="26"/>
    </row>
    <row r="85" spans="1:2" s="24" customFormat="1" ht="11.25">
      <c r="A85" s="26"/>
      <c r="B85" s="26"/>
    </row>
    <row r="86" spans="1:2" s="24" customFormat="1" ht="11.25">
      <c r="A86" s="26"/>
      <c r="B86" s="26"/>
    </row>
    <row r="87" spans="1:2" s="24" customFormat="1" ht="11.25">
      <c r="A87" s="26"/>
      <c r="B87" s="26"/>
    </row>
    <row r="88" spans="1:2" s="24" customFormat="1" ht="11.25">
      <c r="A88" s="26"/>
      <c r="B88" s="26"/>
    </row>
    <row r="89" spans="1:2" s="24" customFormat="1" ht="11.25">
      <c r="A89" s="26"/>
      <c r="B89" s="26"/>
    </row>
    <row r="90" spans="1:2" s="24" customFormat="1" ht="11.25">
      <c r="A90" s="26"/>
      <c r="B90" s="26"/>
    </row>
    <row r="91" spans="1:2" s="24" customFormat="1" ht="11.25">
      <c r="A91" s="26"/>
      <c r="B91" s="26"/>
    </row>
    <row r="92" spans="1:2" s="24" customFormat="1" ht="11.25">
      <c r="A92" s="26"/>
      <c r="B92" s="26"/>
    </row>
    <row r="93" spans="1:2" s="24" customFormat="1" ht="11.25">
      <c r="A93" s="26"/>
      <c r="B93" s="26"/>
    </row>
    <row r="94" spans="1:2" s="24" customFormat="1" ht="11.25">
      <c r="A94" s="26"/>
      <c r="B94" s="26"/>
    </row>
    <row r="95" spans="1:2" s="24" customFormat="1" ht="11.25">
      <c r="A95" s="26"/>
      <c r="B95" s="26"/>
    </row>
    <row r="96" spans="1:2" s="24" customFormat="1" ht="11.25">
      <c r="A96" s="26"/>
      <c r="B96" s="26"/>
    </row>
    <row r="97" spans="1:2" s="24" customFormat="1" ht="11.25">
      <c r="A97" s="26"/>
      <c r="B97" s="26"/>
    </row>
    <row r="98" spans="1:2" s="24" customFormat="1" ht="11.25">
      <c r="A98" s="26"/>
      <c r="B98" s="26"/>
    </row>
    <row r="99" spans="1:2" s="24" customFormat="1" ht="11.25">
      <c r="A99" s="26"/>
      <c r="B99" s="26"/>
    </row>
    <row r="100" spans="1:2" s="24" customFormat="1" ht="11.25">
      <c r="A100" s="26"/>
      <c r="B100" s="26"/>
    </row>
    <row r="101" spans="1:2" s="24" customFormat="1" ht="11.25">
      <c r="A101" s="26"/>
      <c r="B101" s="26"/>
    </row>
    <row r="102" spans="1:2" s="24" customFormat="1" ht="11.25">
      <c r="A102" s="26"/>
      <c r="B102" s="26"/>
    </row>
    <row r="103" spans="1:2" s="24" customFormat="1" ht="11.25">
      <c r="A103" s="26"/>
      <c r="B103" s="26"/>
    </row>
    <row r="104" spans="1:2" s="24" customFormat="1" ht="11.25">
      <c r="A104" s="26"/>
      <c r="B104" s="26"/>
    </row>
    <row r="105" spans="1:2" s="24" customFormat="1" ht="11.25">
      <c r="A105" s="26"/>
      <c r="B105" s="26"/>
    </row>
    <row r="106" spans="1:2" s="24" customFormat="1" ht="11.25">
      <c r="A106" s="26"/>
      <c r="B106" s="26"/>
    </row>
    <row r="107" spans="1:2" s="24" customFormat="1" ht="11.25">
      <c r="A107" s="26"/>
      <c r="B107" s="26"/>
    </row>
    <row r="108" spans="1:2" s="24" customFormat="1" ht="11.25">
      <c r="A108" s="26"/>
      <c r="B108" s="26"/>
    </row>
    <row r="109" spans="1:2" s="24" customFormat="1" ht="11.25">
      <c r="A109" s="26"/>
      <c r="B109" s="26"/>
    </row>
    <row r="110" spans="1:2" s="24" customFormat="1" ht="11.25">
      <c r="A110" s="26"/>
      <c r="B110" s="26"/>
    </row>
    <row r="111" spans="1:2" s="24" customFormat="1" ht="11.25">
      <c r="A111" s="26"/>
      <c r="B111" s="26"/>
    </row>
    <row r="112" spans="1:2" ht="12.75">
      <c r="A112" s="26"/>
      <c r="B112" s="26"/>
    </row>
    <row r="113" spans="1:2" ht="12.75">
      <c r="A113" s="26"/>
      <c r="B113" s="26"/>
    </row>
    <row r="114" spans="1:2" ht="12.75">
      <c r="A114" s="26"/>
      <c r="B114" s="26"/>
    </row>
    <row r="115" spans="1:2" ht="12.75">
      <c r="A115" s="26"/>
      <c r="B115" s="26"/>
    </row>
    <row r="116" spans="1:2" ht="12.75">
      <c r="A116" s="26"/>
      <c r="B116" s="26"/>
    </row>
    <row r="117" spans="1:2" ht="12.75">
      <c r="A117" s="26"/>
      <c r="B117" s="26"/>
    </row>
    <row r="118" spans="1:2" ht="12.75">
      <c r="A118" s="26"/>
      <c r="B118" s="26"/>
    </row>
    <row r="119" spans="1:2" ht="12.75">
      <c r="A119" s="26"/>
      <c r="B119" s="26"/>
    </row>
    <row r="120" spans="1:2" ht="12.75">
      <c r="A120" s="26"/>
      <c r="B120" s="26"/>
    </row>
    <row r="121" spans="1:2" ht="12.75">
      <c r="A121" s="26"/>
      <c r="B121" s="26"/>
    </row>
    <row r="122" spans="1:2" ht="12.75">
      <c r="A122" s="26"/>
      <c r="B122" s="26"/>
    </row>
    <row r="123" spans="1:2" ht="12.75">
      <c r="A123" s="26"/>
      <c r="B123" s="3"/>
    </row>
    <row r="124" spans="1:2" ht="12.75">
      <c r="A124" s="4"/>
      <c r="B124" s="3"/>
    </row>
    <row r="125" spans="1:2" ht="12.75">
      <c r="A125" s="4"/>
      <c r="B125" s="3"/>
    </row>
    <row r="126" spans="1:2" ht="12.75">
      <c r="A126" s="4"/>
      <c r="B126" s="3"/>
    </row>
    <row r="127" spans="1:2" ht="12.75">
      <c r="A127" s="4"/>
      <c r="B127" s="3"/>
    </row>
    <row r="128" spans="1:2" ht="12.75">
      <c r="A128" s="4"/>
      <c r="B128" s="3"/>
    </row>
    <row r="129" spans="1:2" ht="12.75">
      <c r="A129" s="4"/>
      <c r="B129" s="3"/>
    </row>
    <row r="130" spans="1:2" ht="12.75">
      <c r="A130" s="4"/>
      <c r="B130" s="3"/>
    </row>
    <row r="131" spans="1:2" ht="12.75">
      <c r="A131" s="4"/>
      <c r="B131" s="3"/>
    </row>
    <row r="132" spans="1:2" ht="12.75">
      <c r="A132" s="4"/>
      <c r="B132" s="3"/>
    </row>
    <row r="133" spans="1:2" ht="12.75">
      <c r="A133" s="4"/>
      <c r="B133" s="3"/>
    </row>
    <row r="134" spans="1:2" ht="12.75">
      <c r="A134" s="4"/>
      <c r="B134" s="3"/>
    </row>
    <row r="135" spans="1:2" s="24" customFormat="1" ht="12.75">
      <c r="A135" s="4"/>
      <c r="B135" s="3"/>
    </row>
    <row r="136" spans="1:2" s="24" customFormat="1" ht="12.75">
      <c r="A136" s="4"/>
      <c r="B136" s="3"/>
    </row>
    <row r="137" spans="1:2" s="24" customFormat="1" ht="12.75">
      <c r="A137" s="4"/>
      <c r="B137" s="3"/>
    </row>
    <row r="138" spans="1:2" s="24" customFormat="1" ht="12.75">
      <c r="A138" s="4"/>
      <c r="B138" s="3"/>
    </row>
    <row r="139" spans="1:2" s="24" customFormat="1" ht="12.75">
      <c r="A139" s="4"/>
      <c r="B139" s="3"/>
    </row>
    <row r="140" spans="1:2" s="24" customFormat="1" ht="12.75">
      <c r="A140" s="4"/>
      <c r="B140" s="3"/>
    </row>
    <row r="141" spans="1:2" s="24" customFormat="1" ht="12.75">
      <c r="A141" s="4"/>
      <c r="B141" s="3"/>
    </row>
    <row r="142" spans="1:2" s="24" customFormat="1" ht="12.75">
      <c r="A142" s="4"/>
      <c r="B142" s="3"/>
    </row>
    <row r="143" spans="1:2" s="24" customFormat="1" ht="12.75">
      <c r="A143" s="4"/>
      <c r="B143" s="3"/>
    </row>
    <row r="144" spans="1:2" s="24" customFormat="1" ht="12.75">
      <c r="A144" s="4"/>
      <c r="B144" s="3"/>
    </row>
    <row r="145" spans="1:2" s="24" customFormat="1" ht="12.75">
      <c r="A145" s="4"/>
      <c r="B145" s="3"/>
    </row>
    <row r="146" spans="1:2" s="24" customFormat="1" ht="12.75">
      <c r="A146" s="4"/>
      <c r="B146" s="3"/>
    </row>
    <row r="147" spans="1:2" s="24" customFormat="1" ht="12.75">
      <c r="A147" s="4"/>
      <c r="B147" s="3"/>
    </row>
    <row r="148" spans="1:2" s="24" customFormat="1" ht="12.75">
      <c r="A148" s="4"/>
      <c r="B148" s="3"/>
    </row>
    <row r="149" spans="1:2" s="24" customFormat="1" ht="12.75">
      <c r="A149" s="4"/>
      <c r="B149"/>
    </row>
  </sheetData>
  <sheetProtection/>
  <mergeCells count="6">
    <mergeCell ref="E2:E3"/>
    <mergeCell ref="A1:C1"/>
    <mergeCell ref="C2:C3"/>
    <mergeCell ref="A2:A3"/>
    <mergeCell ref="B2:B3"/>
    <mergeCell ref="D2:D3"/>
  </mergeCells>
  <printOptions horizontalCentered="1"/>
  <pageMargins left="0.15748031496062992" right="0.15748031496062992" top="0.4330708661417323" bottom="0.4724409448818898" header="0.2755905511811024" footer="0.2362204724409449"/>
  <pageSetup horizontalDpi="600" verticalDpi="600" orientation="landscape" paperSize="9" scale="104" r:id="rId1"/>
  <headerFooter alignWithMargins="0">
    <oddFooter>&amp;R&amp;P</oddFooter>
  </headerFooter>
  <rowBreaks count="1" manualBreakCount="1">
    <brk id="2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="98" zoomScaleNormal="98" zoomScaleSheetLayoutView="75" zoomScalePageLayoutView="0" workbookViewId="0" topLeftCell="A1">
      <pane xSplit="4" ySplit="4" topLeftCell="E59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599" sqref="K599"/>
    </sheetView>
  </sheetViews>
  <sheetFormatPr defaultColWidth="9.140625" defaultRowHeight="12.75"/>
  <cols>
    <col min="1" max="1" width="6.8515625" style="0" customWidth="1"/>
    <col min="2" max="2" width="10.00390625" style="0" customWidth="1"/>
    <col min="3" max="3" width="8.28125" style="0" customWidth="1"/>
    <col min="4" max="4" width="60.8515625" style="0" customWidth="1"/>
    <col min="5" max="7" width="16.28125" style="0" customWidth="1"/>
    <col min="8" max="8" width="10.8515625" style="0" customWidth="1"/>
    <col min="9" max="9" width="10.140625" style="0" customWidth="1"/>
    <col min="10" max="10" width="6.8515625" style="0" customWidth="1"/>
    <col min="11" max="11" width="17.7109375" style="0" customWidth="1"/>
    <col min="12" max="12" width="14.8515625" style="0" customWidth="1"/>
  </cols>
  <sheetData>
    <row r="1" spans="1:10" ht="36" customHeight="1" thickBot="1" thickTop="1">
      <c r="A1" s="539" t="s">
        <v>642</v>
      </c>
      <c r="B1" s="540"/>
      <c r="C1" s="540"/>
      <c r="D1" s="540"/>
      <c r="E1" s="540"/>
      <c r="F1" s="540"/>
      <c r="G1" s="540"/>
      <c r="H1" s="540"/>
      <c r="I1" s="541"/>
      <c r="J1" s="6"/>
    </row>
    <row r="2" spans="1:12" ht="21" customHeight="1" thickTop="1">
      <c r="A2" s="478" t="s">
        <v>202</v>
      </c>
      <c r="B2" s="480" t="s">
        <v>3</v>
      </c>
      <c r="C2" s="503"/>
      <c r="D2" s="480" t="s">
        <v>203</v>
      </c>
      <c r="E2" s="535" t="s">
        <v>500</v>
      </c>
      <c r="F2" s="486" t="s">
        <v>633</v>
      </c>
      <c r="G2" s="486" t="s">
        <v>634</v>
      </c>
      <c r="H2" s="537" t="s">
        <v>109</v>
      </c>
      <c r="I2" s="542" t="s">
        <v>484</v>
      </c>
      <c r="J2" s="6"/>
      <c r="K2" s="11"/>
      <c r="L2" s="11"/>
    </row>
    <row r="3" spans="1:12" ht="39.75" customHeight="1">
      <c r="A3" s="479"/>
      <c r="B3" s="138" t="s">
        <v>434</v>
      </c>
      <c r="C3" s="465" t="s">
        <v>22</v>
      </c>
      <c r="D3" s="481"/>
      <c r="E3" s="536"/>
      <c r="F3" s="487"/>
      <c r="G3" s="487"/>
      <c r="H3" s="538"/>
      <c r="I3" s="543"/>
      <c r="J3" s="48"/>
      <c r="K3" s="11"/>
      <c r="L3" s="11"/>
    </row>
    <row r="4" spans="1:12" ht="9.75" customHeight="1">
      <c r="A4" s="139">
        <v>1</v>
      </c>
      <c r="B4" s="112">
        <v>2</v>
      </c>
      <c r="C4" s="112">
        <v>3</v>
      </c>
      <c r="D4" s="470">
        <v>4</v>
      </c>
      <c r="E4" s="140">
        <v>5</v>
      </c>
      <c r="F4" s="140" t="s">
        <v>641</v>
      </c>
      <c r="G4" s="140">
        <v>7</v>
      </c>
      <c r="H4" s="140" t="s">
        <v>649</v>
      </c>
      <c r="I4" s="114">
        <v>9</v>
      </c>
      <c r="J4" s="6"/>
      <c r="K4" s="11"/>
      <c r="L4" s="11"/>
    </row>
    <row r="5" spans="1:12" ht="9.75" customHeight="1">
      <c r="A5" s="515"/>
      <c r="B5" s="516"/>
      <c r="C5" s="521" t="s">
        <v>591</v>
      </c>
      <c r="D5" s="526"/>
      <c r="E5" s="142"/>
      <c r="F5" s="142"/>
      <c r="G5" s="142"/>
      <c r="H5" s="142"/>
      <c r="I5" s="143"/>
      <c r="J5" s="6"/>
      <c r="K5" s="11"/>
      <c r="L5" s="11"/>
    </row>
    <row r="6" spans="1:12" ht="9.75" customHeight="1">
      <c r="A6" s="515"/>
      <c r="B6" s="516"/>
      <c r="C6" s="521"/>
      <c r="D6" s="526"/>
      <c r="E6" s="144"/>
      <c r="F6" s="144"/>
      <c r="G6" s="144"/>
      <c r="H6" s="144"/>
      <c r="I6" s="145"/>
      <c r="J6" s="6"/>
      <c r="K6" s="11"/>
      <c r="L6" s="11"/>
    </row>
    <row r="7" spans="1:12" ht="24" customHeight="1">
      <c r="A7" s="515"/>
      <c r="B7" s="516"/>
      <c r="C7" s="521"/>
      <c r="D7" s="526"/>
      <c r="E7" s="146"/>
      <c r="F7" s="146"/>
      <c r="G7" s="146"/>
      <c r="H7" s="146"/>
      <c r="I7" s="147"/>
      <c r="J7" s="6"/>
      <c r="K7" s="11"/>
      <c r="L7" s="11"/>
    </row>
    <row r="8" spans="1:12" ht="15" customHeight="1">
      <c r="A8" s="134"/>
      <c r="B8" s="57">
        <v>411000</v>
      </c>
      <c r="C8" s="71"/>
      <c r="D8" s="148" t="s">
        <v>118</v>
      </c>
      <c r="E8" s="149">
        <f>SUM(E9)</f>
        <v>1500</v>
      </c>
      <c r="F8" s="149">
        <f>SUM(F9)</f>
        <v>2000</v>
      </c>
      <c r="G8" s="149">
        <f>SUM(G9)</f>
        <v>3500</v>
      </c>
      <c r="H8" s="150">
        <f>G8/E8*100</f>
        <v>233.33333333333334</v>
      </c>
      <c r="I8" s="151">
        <f aca="true" t="shared" si="0" ref="I8:I20">G8/$G$604*100</f>
        <v>0.01149047931713723</v>
      </c>
      <c r="J8" s="6"/>
      <c r="K8" s="11"/>
      <c r="L8" s="11"/>
    </row>
    <row r="9" spans="1:12" ht="13.5" customHeight="1">
      <c r="A9" s="134" t="s">
        <v>23</v>
      </c>
      <c r="B9" s="105"/>
      <c r="C9" s="152">
        <v>411200</v>
      </c>
      <c r="D9" s="80" t="s">
        <v>338</v>
      </c>
      <c r="E9" s="330">
        <v>1500</v>
      </c>
      <c r="F9" s="330">
        <f>G9-E9</f>
        <v>2000</v>
      </c>
      <c r="G9" s="330">
        <v>3500</v>
      </c>
      <c r="H9" s="153">
        <f aca="true" t="shared" si="1" ref="H9:H20">G9/E9*100</f>
        <v>233.33333333333334</v>
      </c>
      <c r="I9" s="221">
        <f t="shared" si="0"/>
        <v>0.01149047931713723</v>
      </c>
      <c r="J9" s="6"/>
      <c r="K9" s="11"/>
      <c r="L9" s="11"/>
    </row>
    <row r="10" spans="1:12" ht="14.25" customHeight="1">
      <c r="A10" s="134"/>
      <c r="B10" s="57">
        <v>412000</v>
      </c>
      <c r="C10" s="71"/>
      <c r="D10" s="148" t="s">
        <v>119</v>
      </c>
      <c r="E10" s="154">
        <f>SUM(E11:E17)</f>
        <v>312500</v>
      </c>
      <c r="F10" s="154">
        <f>SUM(F11:F17)</f>
        <v>9300</v>
      </c>
      <c r="G10" s="154">
        <f>SUM(G11:G17)</f>
        <v>321800</v>
      </c>
      <c r="H10" s="150">
        <f t="shared" si="1"/>
        <v>102.976</v>
      </c>
      <c r="I10" s="151">
        <f t="shared" si="0"/>
        <v>1.056467498358503</v>
      </c>
      <c r="J10" s="6"/>
      <c r="K10" s="11"/>
      <c r="L10" s="11"/>
    </row>
    <row r="11" spans="1:12" ht="12.75" customHeight="1">
      <c r="A11" s="134" t="s">
        <v>23</v>
      </c>
      <c r="B11" s="51"/>
      <c r="C11" s="71">
        <v>412900</v>
      </c>
      <c r="D11" s="93" t="s">
        <v>0</v>
      </c>
      <c r="E11" s="201">
        <v>8000</v>
      </c>
      <c r="F11" s="201">
        <f aca="true" t="shared" si="2" ref="F11:F17">G11-E11</f>
        <v>3000</v>
      </c>
      <c r="G11" s="201">
        <v>11000</v>
      </c>
      <c r="H11" s="153">
        <f t="shared" si="1"/>
        <v>137.5</v>
      </c>
      <c r="I11" s="221">
        <f t="shared" si="0"/>
        <v>0.03611293499671701</v>
      </c>
      <c r="J11" s="10"/>
      <c r="K11" s="11"/>
      <c r="L11" s="11"/>
    </row>
    <row r="12" spans="1:12" ht="12.75" customHeight="1">
      <c r="A12" s="134" t="s">
        <v>23</v>
      </c>
      <c r="B12" s="51"/>
      <c r="C12" s="71">
        <v>412900</v>
      </c>
      <c r="D12" s="93" t="s">
        <v>204</v>
      </c>
      <c r="E12" s="159">
        <v>1500</v>
      </c>
      <c r="F12" s="201">
        <f t="shared" si="2"/>
        <v>0</v>
      </c>
      <c r="G12" s="159">
        <v>1500</v>
      </c>
      <c r="H12" s="153">
        <f t="shared" si="1"/>
        <v>100</v>
      </c>
      <c r="I12" s="221">
        <f t="shared" si="0"/>
        <v>0.004924491135915955</v>
      </c>
      <c r="J12" s="10"/>
      <c r="K12" s="11"/>
      <c r="L12" s="11"/>
    </row>
    <row r="13" spans="1:12" ht="12.75" customHeight="1">
      <c r="A13" s="134" t="s">
        <v>23</v>
      </c>
      <c r="B13" s="51"/>
      <c r="C13" s="71">
        <v>412900</v>
      </c>
      <c r="D13" s="93" t="s">
        <v>653</v>
      </c>
      <c r="E13" s="159">
        <v>0</v>
      </c>
      <c r="F13" s="201">
        <f t="shared" si="2"/>
        <v>4300</v>
      </c>
      <c r="G13" s="159">
        <v>4300</v>
      </c>
      <c r="H13" s="153" t="e">
        <f t="shared" si="1"/>
        <v>#DIV/0!</v>
      </c>
      <c r="I13" s="221">
        <f t="shared" si="0"/>
        <v>0.014116874589625739</v>
      </c>
      <c r="J13" s="10"/>
      <c r="K13" s="11"/>
      <c r="L13" s="11"/>
    </row>
    <row r="14" spans="1:12" ht="12.75" customHeight="1">
      <c r="A14" s="136" t="s">
        <v>23</v>
      </c>
      <c r="B14" s="51"/>
      <c r="C14" s="102">
        <v>412900</v>
      </c>
      <c r="D14" s="98" t="s">
        <v>93</v>
      </c>
      <c r="E14" s="159">
        <v>244000</v>
      </c>
      <c r="F14" s="201">
        <f t="shared" si="2"/>
        <v>0</v>
      </c>
      <c r="G14" s="159">
        <v>244000</v>
      </c>
      <c r="H14" s="153">
        <f t="shared" si="1"/>
        <v>100</v>
      </c>
      <c r="I14" s="221">
        <f t="shared" si="0"/>
        <v>0.8010505581089953</v>
      </c>
      <c r="J14" s="10"/>
      <c r="K14" s="11"/>
      <c r="L14" s="11"/>
    </row>
    <row r="15" spans="1:12" ht="12.75" customHeight="1">
      <c r="A15" s="136" t="s">
        <v>23</v>
      </c>
      <c r="B15" s="51"/>
      <c r="C15" s="102">
        <v>412900</v>
      </c>
      <c r="D15" s="98" t="s">
        <v>180</v>
      </c>
      <c r="E15" s="159">
        <v>4000</v>
      </c>
      <c r="F15" s="201">
        <f t="shared" si="2"/>
        <v>0</v>
      </c>
      <c r="G15" s="159">
        <v>4000</v>
      </c>
      <c r="H15" s="153">
        <f t="shared" si="1"/>
        <v>100</v>
      </c>
      <c r="I15" s="221">
        <f t="shared" si="0"/>
        <v>0.013131976362442548</v>
      </c>
      <c r="J15" s="10"/>
      <c r="K15" s="11"/>
      <c r="L15" s="11"/>
    </row>
    <row r="16" spans="1:12" ht="12.75" customHeight="1">
      <c r="A16" s="136" t="s">
        <v>25</v>
      </c>
      <c r="B16" s="51"/>
      <c r="C16" s="102">
        <v>412900</v>
      </c>
      <c r="D16" s="98" t="s">
        <v>209</v>
      </c>
      <c r="E16" s="157">
        <v>55000</v>
      </c>
      <c r="F16" s="201">
        <f t="shared" si="2"/>
        <v>0</v>
      </c>
      <c r="G16" s="157">
        <v>55000</v>
      </c>
      <c r="H16" s="153">
        <f t="shared" si="1"/>
        <v>100</v>
      </c>
      <c r="I16" s="221">
        <f t="shared" si="0"/>
        <v>0.18056467498358503</v>
      </c>
      <c r="J16" s="10"/>
      <c r="K16" s="11"/>
      <c r="L16" s="11"/>
    </row>
    <row r="17" spans="1:12" ht="12.75" customHeight="1">
      <c r="A17" s="136" t="s">
        <v>23</v>
      </c>
      <c r="B17" s="51"/>
      <c r="C17" s="102">
        <v>412900</v>
      </c>
      <c r="D17" s="98" t="s">
        <v>128</v>
      </c>
      <c r="E17" s="153">
        <v>0</v>
      </c>
      <c r="F17" s="201">
        <f t="shared" si="2"/>
        <v>2000</v>
      </c>
      <c r="G17" s="153">
        <v>2000</v>
      </c>
      <c r="H17" s="153" t="e">
        <f t="shared" si="1"/>
        <v>#DIV/0!</v>
      </c>
      <c r="I17" s="221">
        <f t="shared" si="0"/>
        <v>0.006565988181221274</v>
      </c>
      <c r="J17" s="10"/>
      <c r="K17" s="11"/>
      <c r="L17" s="11"/>
    </row>
    <row r="18" spans="1:12" ht="14.25" customHeight="1">
      <c r="A18" s="134"/>
      <c r="B18" s="57">
        <v>415000</v>
      </c>
      <c r="C18" s="71"/>
      <c r="D18" s="160" t="s">
        <v>133</v>
      </c>
      <c r="E18" s="154">
        <f>SUM(E19:E19)</f>
        <v>28000</v>
      </c>
      <c r="F18" s="154">
        <f>SUM(F19:F19)</f>
        <v>0</v>
      </c>
      <c r="G18" s="154">
        <f>SUM(G19:G19)</f>
        <v>28000</v>
      </c>
      <c r="H18" s="150">
        <f t="shared" si="1"/>
        <v>100</v>
      </c>
      <c r="I18" s="151">
        <f t="shared" si="0"/>
        <v>0.09192383453709783</v>
      </c>
      <c r="J18" s="10"/>
      <c r="K18" s="11"/>
      <c r="L18" s="11"/>
    </row>
    <row r="19" spans="1:12" ht="12" customHeight="1">
      <c r="A19" s="134" t="s">
        <v>25</v>
      </c>
      <c r="B19" s="51"/>
      <c r="C19" s="71">
        <v>415200</v>
      </c>
      <c r="D19" s="93" t="s">
        <v>208</v>
      </c>
      <c r="E19" s="159">
        <v>28000</v>
      </c>
      <c r="F19" s="159">
        <f>G19-E19</f>
        <v>0</v>
      </c>
      <c r="G19" s="159">
        <v>28000</v>
      </c>
      <c r="H19" s="153">
        <f t="shared" si="1"/>
        <v>100</v>
      </c>
      <c r="I19" s="221">
        <f t="shared" si="0"/>
        <v>0.09192383453709783</v>
      </c>
      <c r="J19" s="10"/>
      <c r="K19" s="11"/>
      <c r="L19" s="11"/>
    </row>
    <row r="20" spans="1:12" ht="27" customHeight="1">
      <c r="A20" s="515"/>
      <c r="B20" s="516"/>
      <c r="C20" s="507" t="s">
        <v>78</v>
      </c>
      <c r="D20" s="507"/>
      <c r="E20" s="161">
        <f>E8+E10+E18</f>
        <v>342000</v>
      </c>
      <c r="F20" s="161">
        <f>F8+F10+F18</f>
        <v>11300</v>
      </c>
      <c r="G20" s="161">
        <f>G8+G10+G18</f>
        <v>353300</v>
      </c>
      <c r="H20" s="390">
        <f t="shared" si="1"/>
        <v>103.30409356725146</v>
      </c>
      <c r="I20" s="440">
        <f t="shared" si="0"/>
        <v>1.159881812212738</v>
      </c>
      <c r="J20" s="10"/>
      <c r="K20" s="12"/>
      <c r="L20" s="11"/>
    </row>
    <row r="21" spans="1:12" ht="9.75" customHeight="1">
      <c r="A21" s="515"/>
      <c r="B21" s="516"/>
      <c r="C21" s="521" t="s">
        <v>590</v>
      </c>
      <c r="D21" s="526"/>
      <c r="E21" s="163"/>
      <c r="F21" s="163"/>
      <c r="G21" s="163"/>
      <c r="H21" s="163"/>
      <c r="I21" s="164"/>
      <c r="J21" s="10"/>
      <c r="K21" s="11"/>
      <c r="L21" s="11"/>
    </row>
    <row r="22" spans="1:12" ht="9.75" customHeight="1">
      <c r="A22" s="515"/>
      <c r="B22" s="516"/>
      <c r="C22" s="521"/>
      <c r="D22" s="526"/>
      <c r="E22" s="165"/>
      <c r="F22" s="165"/>
      <c r="G22" s="165"/>
      <c r="H22" s="165"/>
      <c r="I22" s="166"/>
      <c r="J22" s="10"/>
      <c r="K22" s="11"/>
      <c r="L22" s="11"/>
    </row>
    <row r="23" spans="1:12" ht="25.5" customHeight="1">
      <c r="A23" s="515"/>
      <c r="B23" s="516"/>
      <c r="C23" s="521"/>
      <c r="D23" s="526"/>
      <c r="E23" s="167"/>
      <c r="F23" s="167"/>
      <c r="G23" s="167"/>
      <c r="H23" s="167"/>
      <c r="I23" s="168"/>
      <c r="J23" s="10"/>
      <c r="K23" s="11"/>
      <c r="L23" s="11"/>
    </row>
    <row r="24" spans="1:12" ht="15" customHeight="1">
      <c r="A24" s="134"/>
      <c r="B24" s="57">
        <v>411000</v>
      </c>
      <c r="C24" s="71"/>
      <c r="D24" s="148" t="s">
        <v>118</v>
      </c>
      <c r="E24" s="149">
        <f>SUM(E25)</f>
        <v>2400</v>
      </c>
      <c r="F24" s="149">
        <f>SUM(F25)</f>
        <v>0</v>
      </c>
      <c r="G24" s="149">
        <f>SUM(G25)</f>
        <v>2400</v>
      </c>
      <c r="H24" s="149">
        <f>G24/E24*100</f>
        <v>100</v>
      </c>
      <c r="I24" s="151">
        <f aca="true" t="shared" si="3" ref="I24:I35">G24/$G$604*100</f>
        <v>0.00787918581746553</v>
      </c>
      <c r="J24" s="10"/>
      <c r="K24" s="11"/>
      <c r="L24" s="11"/>
    </row>
    <row r="25" spans="1:12" ht="12.75">
      <c r="A25" s="134" t="s">
        <v>23</v>
      </c>
      <c r="B25" s="105"/>
      <c r="C25" s="152">
        <v>411200</v>
      </c>
      <c r="D25" s="80" t="s">
        <v>338</v>
      </c>
      <c r="E25" s="169">
        <v>2400</v>
      </c>
      <c r="F25" s="169">
        <f>G25-E25</f>
        <v>0</v>
      </c>
      <c r="G25" s="169">
        <v>2400</v>
      </c>
      <c r="H25" s="170">
        <f aca="true" t="shared" si="4" ref="H25:H39">G25/E25*100</f>
        <v>100</v>
      </c>
      <c r="I25" s="221">
        <f t="shared" si="3"/>
        <v>0.00787918581746553</v>
      </c>
      <c r="J25" s="10"/>
      <c r="K25" s="11"/>
      <c r="L25" s="11"/>
    </row>
    <row r="26" spans="1:12" ht="12" customHeight="1">
      <c r="A26" s="134"/>
      <c r="B26" s="57">
        <v>412000</v>
      </c>
      <c r="C26" s="71"/>
      <c r="D26" s="148" t="s">
        <v>119</v>
      </c>
      <c r="E26" s="154">
        <f>SUM(E27:E36)</f>
        <v>77350</v>
      </c>
      <c r="F26" s="154">
        <f>SUM(F27:F36)</f>
        <v>10000</v>
      </c>
      <c r="G26" s="154">
        <f>SUM(G27:G36)</f>
        <v>87350</v>
      </c>
      <c r="H26" s="149">
        <f t="shared" si="4"/>
        <v>112.92824822236587</v>
      </c>
      <c r="I26" s="151">
        <f t="shared" si="3"/>
        <v>0.2867695338148391</v>
      </c>
      <c r="J26" s="10"/>
      <c r="K26" s="11"/>
      <c r="L26" s="11"/>
    </row>
    <row r="27" spans="1:12" ht="12.75" customHeight="1">
      <c r="A27" s="134" t="s">
        <v>23</v>
      </c>
      <c r="B27" s="137"/>
      <c r="C27" s="71">
        <v>412900</v>
      </c>
      <c r="D27" s="93" t="s">
        <v>0</v>
      </c>
      <c r="E27" s="159">
        <v>17000</v>
      </c>
      <c r="F27" s="159">
        <f>G27-E27</f>
        <v>0</v>
      </c>
      <c r="G27" s="159">
        <v>17000</v>
      </c>
      <c r="H27" s="170">
        <f t="shared" si="4"/>
        <v>100</v>
      </c>
      <c r="I27" s="221">
        <f t="shared" si="3"/>
        <v>0.05581089954038083</v>
      </c>
      <c r="J27" s="10"/>
      <c r="K27" s="11"/>
      <c r="L27" s="11"/>
    </row>
    <row r="28" spans="1:12" ht="12.75" customHeight="1" hidden="1">
      <c r="A28" s="134" t="s">
        <v>23</v>
      </c>
      <c r="B28" s="137"/>
      <c r="C28" s="71">
        <v>412900</v>
      </c>
      <c r="D28" s="93" t="s">
        <v>461</v>
      </c>
      <c r="E28" s="159"/>
      <c r="F28" s="159">
        <f aca="true" t="shared" si="5" ref="F28:F36">G28-E28</f>
        <v>0</v>
      </c>
      <c r="G28" s="159"/>
      <c r="H28" s="170" t="e">
        <f t="shared" si="4"/>
        <v>#DIV/0!</v>
      </c>
      <c r="I28" s="221">
        <f t="shared" si="3"/>
        <v>0</v>
      </c>
      <c r="J28" s="10"/>
      <c r="K28" s="11"/>
      <c r="L28" s="11"/>
    </row>
    <row r="29" spans="1:12" ht="12.75" customHeight="1">
      <c r="A29" s="134" t="s">
        <v>23</v>
      </c>
      <c r="B29" s="137"/>
      <c r="C29" s="102">
        <v>412900</v>
      </c>
      <c r="D29" s="98" t="s">
        <v>94</v>
      </c>
      <c r="E29" s="159">
        <v>6200</v>
      </c>
      <c r="F29" s="159">
        <f t="shared" si="5"/>
        <v>0</v>
      </c>
      <c r="G29" s="159">
        <v>6200</v>
      </c>
      <c r="H29" s="170">
        <f t="shared" si="4"/>
        <v>100</v>
      </c>
      <c r="I29" s="221">
        <f t="shared" si="3"/>
        <v>0.020354563361785948</v>
      </c>
      <c r="K29" s="11"/>
      <c r="L29" s="11"/>
    </row>
    <row r="30" spans="1:12" ht="12.75" customHeight="1" hidden="1">
      <c r="A30" s="134" t="s">
        <v>23</v>
      </c>
      <c r="B30" s="57"/>
      <c r="C30" s="82">
        <v>412900</v>
      </c>
      <c r="D30" s="171" t="s">
        <v>185</v>
      </c>
      <c r="E30" s="159"/>
      <c r="F30" s="159">
        <f t="shared" si="5"/>
        <v>0</v>
      </c>
      <c r="G30" s="159"/>
      <c r="H30" s="170" t="e">
        <f t="shared" si="4"/>
        <v>#DIV/0!</v>
      </c>
      <c r="I30" s="221">
        <f t="shared" si="3"/>
        <v>0</v>
      </c>
      <c r="J30" s="6"/>
      <c r="K30" s="11"/>
      <c r="L30" s="11"/>
    </row>
    <row r="31" spans="1:12" ht="12" customHeight="1">
      <c r="A31" s="136" t="s">
        <v>23</v>
      </c>
      <c r="B31" s="137"/>
      <c r="C31" s="82">
        <v>412900</v>
      </c>
      <c r="D31" s="98" t="s">
        <v>237</v>
      </c>
      <c r="E31" s="159">
        <v>7000</v>
      </c>
      <c r="F31" s="159">
        <f t="shared" si="5"/>
        <v>0</v>
      </c>
      <c r="G31" s="159">
        <v>7000</v>
      </c>
      <c r="H31" s="170">
        <f t="shared" si="4"/>
        <v>100</v>
      </c>
      <c r="I31" s="221">
        <f t="shared" si="3"/>
        <v>0.02298095863427446</v>
      </c>
      <c r="J31" s="6"/>
      <c r="K31" s="11"/>
      <c r="L31" s="11"/>
    </row>
    <row r="32" spans="1:12" ht="1.5" customHeight="1" hidden="1">
      <c r="A32" s="136" t="s">
        <v>23</v>
      </c>
      <c r="B32" s="137"/>
      <c r="C32" s="82">
        <v>412900</v>
      </c>
      <c r="D32" s="98" t="s">
        <v>128</v>
      </c>
      <c r="E32" s="159"/>
      <c r="F32" s="159">
        <f t="shared" si="5"/>
        <v>0</v>
      </c>
      <c r="G32" s="159"/>
      <c r="H32" s="170" t="e">
        <f t="shared" si="4"/>
        <v>#DIV/0!</v>
      </c>
      <c r="I32" s="221">
        <f t="shared" si="3"/>
        <v>0</v>
      </c>
      <c r="J32" s="6"/>
      <c r="K32" s="11"/>
      <c r="L32" s="11"/>
    </row>
    <row r="33" spans="1:12" ht="12.75">
      <c r="A33" s="136" t="s">
        <v>23</v>
      </c>
      <c r="B33" s="137"/>
      <c r="C33" s="82">
        <v>412900</v>
      </c>
      <c r="D33" s="98" t="s">
        <v>290</v>
      </c>
      <c r="E33" s="159">
        <v>2500</v>
      </c>
      <c r="F33" s="159">
        <f t="shared" si="5"/>
        <v>0</v>
      </c>
      <c r="G33" s="159">
        <v>2500</v>
      </c>
      <c r="H33" s="170">
        <f t="shared" si="4"/>
        <v>100</v>
      </c>
      <c r="I33" s="221">
        <f t="shared" si="3"/>
        <v>0.008207485226526591</v>
      </c>
      <c r="J33" s="6"/>
      <c r="K33" s="11"/>
      <c r="L33" s="11"/>
    </row>
    <row r="34" spans="1:12" ht="25.5" customHeight="1" hidden="1">
      <c r="A34" s="136" t="s">
        <v>23</v>
      </c>
      <c r="B34" s="137"/>
      <c r="C34" s="82">
        <v>412900</v>
      </c>
      <c r="D34" s="98" t="s">
        <v>462</v>
      </c>
      <c r="E34" s="157"/>
      <c r="F34" s="159">
        <f t="shared" si="5"/>
        <v>0</v>
      </c>
      <c r="G34" s="157"/>
      <c r="H34" s="170" t="e">
        <f t="shared" si="4"/>
        <v>#DIV/0!</v>
      </c>
      <c r="I34" s="221">
        <f t="shared" si="3"/>
        <v>0</v>
      </c>
      <c r="J34" s="6"/>
      <c r="K34" s="11"/>
      <c r="L34" s="11"/>
    </row>
    <row r="35" spans="1:12" ht="24" customHeight="1">
      <c r="A35" s="136" t="s">
        <v>23</v>
      </c>
      <c r="B35" s="137"/>
      <c r="C35" s="82">
        <v>412900</v>
      </c>
      <c r="D35" s="98" t="s">
        <v>389</v>
      </c>
      <c r="E35" s="159">
        <v>44500</v>
      </c>
      <c r="F35" s="159">
        <f t="shared" si="5"/>
        <v>10000</v>
      </c>
      <c r="G35" s="159">
        <v>54500</v>
      </c>
      <c r="H35" s="170">
        <f t="shared" si="4"/>
        <v>122.47191011235957</v>
      </c>
      <c r="I35" s="221">
        <f t="shared" si="3"/>
        <v>0.17892317793827972</v>
      </c>
      <c r="J35" s="6"/>
      <c r="K35" s="11"/>
      <c r="L35" s="11"/>
    </row>
    <row r="36" spans="1:12" ht="13.5" customHeight="1">
      <c r="A36" s="136" t="s">
        <v>23</v>
      </c>
      <c r="B36" s="137"/>
      <c r="C36" s="82">
        <v>412900</v>
      </c>
      <c r="D36" s="98" t="s">
        <v>486</v>
      </c>
      <c r="E36" s="159">
        <v>150</v>
      </c>
      <c r="F36" s="159">
        <f t="shared" si="5"/>
        <v>0</v>
      </c>
      <c r="G36" s="159">
        <v>150</v>
      </c>
      <c r="H36" s="170">
        <f t="shared" si="4"/>
        <v>100</v>
      </c>
      <c r="I36" s="221">
        <f>H36*1.1</f>
        <v>110.00000000000001</v>
      </c>
      <c r="J36" s="6"/>
      <c r="K36" s="11"/>
      <c r="L36" s="11"/>
    </row>
    <row r="37" spans="1:12" ht="9.75" customHeight="1">
      <c r="A37" s="136"/>
      <c r="B37" s="57">
        <v>416000</v>
      </c>
      <c r="C37" s="71"/>
      <c r="D37" s="148" t="s">
        <v>1</v>
      </c>
      <c r="E37" s="154">
        <f>SUM(E38)</f>
        <v>0</v>
      </c>
      <c r="F37" s="154">
        <f>SUM(F38)</f>
        <v>49310</v>
      </c>
      <c r="G37" s="154">
        <f>SUM(G38)</f>
        <v>49310</v>
      </c>
      <c r="H37" s="149" t="e">
        <f t="shared" si="4"/>
        <v>#DIV/0!</v>
      </c>
      <c r="I37" s="151">
        <f>G37/$G$604*100</f>
        <v>0.16188443860801052</v>
      </c>
      <c r="J37" s="6"/>
      <c r="K37" s="11"/>
      <c r="L37" s="11"/>
    </row>
    <row r="38" spans="1:12" ht="15" customHeight="1">
      <c r="A38" s="136" t="s">
        <v>28</v>
      </c>
      <c r="B38" s="137"/>
      <c r="C38" s="82">
        <v>416100</v>
      </c>
      <c r="D38" s="98" t="s">
        <v>654</v>
      </c>
      <c r="E38" s="159">
        <v>0</v>
      </c>
      <c r="F38" s="159">
        <f>G38-E38</f>
        <v>49310</v>
      </c>
      <c r="G38" s="159">
        <v>49310</v>
      </c>
      <c r="H38" s="170" t="e">
        <f t="shared" si="4"/>
        <v>#DIV/0!</v>
      </c>
      <c r="I38" s="221">
        <f>G38/$G$604*100</f>
        <v>0.16188443860801052</v>
      </c>
      <c r="J38" s="6"/>
      <c r="K38" s="11"/>
      <c r="L38" s="11"/>
    </row>
    <row r="39" spans="1:12" ht="24.75" customHeight="1">
      <c r="A39" s="515"/>
      <c r="B39" s="516"/>
      <c r="C39" s="507" t="s">
        <v>79</v>
      </c>
      <c r="D39" s="507"/>
      <c r="E39" s="172">
        <f>E24+E26+E37</f>
        <v>79750</v>
      </c>
      <c r="F39" s="172">
        <f>F24+F26+F37</f>
        <v>59310</v>
      </c>
      <c r="G39" s="172">
        <f>G24+G26+G37</f>
        <v>139060</v>
      </c>
      <c r="H39" s="365">
        <f t="shared" si="4"/>
        <v>174.36990595611286</v>
      </c>
      <c r="I39" s="440">
        <f>G39/$G$604*100</f>
        <v>0.45653315824031515</v>
      </c>
      <c r="J39" s="6"/>
      <c r="K39" s="12"/>
      <c r="L39" s="11"/>
    </row>
    <row r="40" spans="1:12" ht="12.75" customHeight="1">
      <c r="A40" s="174"/>
      <c r="B40" s="175"/>
      <c r="C40" s="529" t="s">
        <v>650</v>
      </c>
      <c r="D40" s="530"/>
      <c r="E40" s="176"/>
      <c r="F40" s="176"/>
      <c r="G40" s="176"/>
      <c r="H40" s="176"/>
      <c r="I40" s="177"/>
      <c r="J40" s="6"/>
      <c r="K40" s="11"/>
      <c r="L40" s="11"/>
    </row>
    <row r="41" spans="1:12" ht="12.75">
      <c r="A41" s="178"/>
      <c r="B41" s="179"/>
      <c r="C41" s="531"/>
      <c r="D41" s="532"/>
      <c r="E41" s="180"/>
      <c r="F41" s="180"/>
      <c r="G41" s="180"/>
      <c r="H41" s="180"/>
      <c r="I41" s="181"/>
      <c r="J41" s="6"/>
      <c r="K41" s="11"/>
      <c r="L41" s="11"/>
    </row>
    <row r="42" spans="1:12" ht="17.25" customHeight="1">
      <c r="A42" s="182"/>
      <c r="B42" s="183"/>
      <c r="C42" s="533"/>
      <c r="D42" s="534"/>
      <c r="E42" s="184"/>
      <c r="F42" s="184"/>
      <c r="G42" s="184"/>
      <c r="H42" s="184"/>
      <c r="I42" s="185"/>
      <c r="J42" s="6"/>
      <c r="K42" s="11"/>
      <c r="L42" s="11"/>
    </row>
    <row r="43" spans="1:12" ht="12.75">
      <c r="A43" s="134"/>
      <c r="B43" s="57">
        <v>412000</v>
      </c>
      <c r="C43" s="71"/>
      <c r="D43" s="148" t="s">
        <v>119</v>
      </c>
      <c r="E43" s="150">
        <f>SUM(E44:E49)</f>
        <v>23750</v>
      </c>
      <c r="F43" s="150">
        <f>SUM(F44:F49)</f>
        <v>0</v>
      </c>
      <c r="G43" s="150">
        <f>SUM(G44:G49)</f>
        <v>23750</v>
      </c>
      <c r="H43" s="150">
        <f>G43/E43*100</f>
        <v>100</v>
      </c>
      <c r="I43" s="186">
        <f aca="true" t="shared" si="6" ref="I43:I58">G43/$G$604*100</f>
        <v>0.07797110965200263</v>
      </c>
      <c r="J43" s="6"/>
      <c r="K43" s="11"/>
      <c r="L43" s="11"/>
    </row>
    <row r="44" spans="1:12" ht="25.5">
      <c r="A44" s="134" t="s">
        <v>54</v>
      </c>
      <c r="B44" s="57"/>
      <c r="C44" s="71">
        <v>412200</v>
      </c>
      <c r="D44" s="93" t="s">
        <v>121</v>
      </c>
      <c r="E44" s="157">
        <v>13500</v>
      </c>
      <c r="F44" s="157">
        <f aca="true" t="shared" si="7" ref="F44:F49">G44-E44</f>
        <v>1500</v>
      </c>
      <c r="G44" s="157">
        <v>15000</v>
      </c>
      <c r="H44" s="153">
        <f aca="true" t="shared" si="8" ref="H44:H58">G44/E44*100</f>
        <v>111.11111111111111</v>
      </c>
      <c r="I44" s="435">
        <f t="shared" si="6"/>
        <v>0.04924491135915955</v>
      </c>
      <c r="J44" s="6"/>
      <c r="K44" s="11"/>
      <c r="L44" s="11"/>
    </row>
    <row r="45" spans="1:12" ht="12.75">
      <c r="A45" s="134" t="s">
        <v>54</v>
      </c>
      <c r="B45" s="57"/>
      <c r="C45" s="71">
        <v>412300</v>
      </c>
      <c r="D45" s="137" t="s">
        <v>122</v>
      </c>
      <c r="E45" s="157">
        <v>1000</v>
      </c>
      <c r="F45" s="157">
        <f t="shared" si="7"/>
        <v>0</v>
      </c>
      <c r="G45" s="157">
        <v>1000</v>
      </c>
      <c r="H45" s="153">
        <f t="shared" si="8"/>
        <v>100</v>
      </c>
      <c r="I45" s="435">
        <f t="shared" si="6"/>
        <v>0.003282994090610637</v>
      </c>
      <c r="J45" s="6"/>
      <c r="K45" s="11"/>
      <c r="L45" s="11"/>
    </row>
    <row r="46" spans="1:12" ht="12.75">
      <c r="A46" s="134" t="s">
        <v>54</v>
      </c>
      <c r="B46" s="57"/>
      <c r="C46" s="71">
        <v>412400</v>
      </c>
      <c r="D46" s="93" t="s">
        <v>123</v>
      </c>
      <c r="E46" s="157">
        <v>2000</v>
      </c>
      <c r="F46" s="157">
        <f t="shared" si="7"/>
        <v>-1000</v>
      </c>
      <c r="G46" s="157">
        <v>1000</v>
      </c>
      <c r="H46" s="153">
        <f t="shared" si="8"/>
        <v>50</v>
      </c>
      <c r="I46" s="435">
        <f t="shared" si="6"/>
        <v>0.003282994090610637</v>
      </c>
      <c r="J46" s="6"/>
      <c r="K46" s="11"/>
      <c r="L46" s="11"/>
    </row>
    <row r="47" spans="1:12" ht="12.75">
      <c r="A47" s="134" t="s">
        <v>54</v>
      </c>
      <c r="B47" s="57"/>
      <c r="C47" s="137">
        <v>412700</v>
      </c>
      <c r="D47" s="137" t="s">
        <v>126</v>
      </c>
      <c r="E47" s="157">
        <v>3500</v>
      </c>
      <c r="F47" s="157">
        <f t="shared" si="7"/>
        <v>-500</v>
      </c>
      <c r="G47" s="157">
        <v>3000</v>
      </c>
      <c r="H47" s="153">
        <f t="shared" si="8"/>
        <v>85.71428571428571</v>
      </c>
      <c r="I47" s="435">
        <f t="shared" si="6"/>
        <v>0.00984898227183191</v>
      </c>
      <c r="J47" s="6"/>
      <c r="K47" s="11"/>
      <c r="L47" s="11"/>
    </row>
    <row r="48" spans="1:12" ht="12.75">
      <c r="A48" s="134" t="s">
        <v>54</v>
      </c>
      <c r="B48" s="57"/>
      <c r="C48" s="137">
        <v>412900</v>
      </c>
      <c r="D48" s="137" t="s">
        <v>0</v>
      </c>
      <c r="E48" s="157">
        <v>400</v>
      </c>
      <c r="F48" s="157">
        <f t="shared" si="7"/>
        <v>0</v>
      </c>
      <c r="G48" s="157">
        <v>400</v>
      </c>
      <c r="H48" s="153">
        <f t="shared" si="8"/>
        <v>100</v>
      </c>
      <c r="I48" s="435">
        <f t="shared" si="6"/>
        <v>0.0013131976362442547</v>
      </c>
      <c r="J48" s="6"/>
      <c r="K48" s="11"/>
      <c r="L48" s="11"/>
    </row>
    <row r="49" spans="1:12" ht="12.75">
      <c r="A49" s="134" t="s">
        <v>54</v>
      </c>
      <c r="B49" s="57"/>
      <c r="C49" s="137">
        <v>412900</v>
      </c>
      <c r="D49" s="137" t="s">
        <v>128</v>
      </c>
      <c r="E49" s="159">
        <v>3350</v>
      </c>
      <c r="F49" s="157">
        <f t="shared" si="7"/>
        <v>0</v>
      </c>
      <c r="G49" s="159">
        <v>3350</v>
      </c>
      <c r="H49" s="153">
        <f t="shared" si="8"/>
        <v>100</v>
      </c>
      <c r="I49" s="435">
        <f t="shared" si="6"/>
        <v>0.010998030203545634</v>
      </c>
      <c r="J49" s="6"/>
      <c r="K49" s="11"/>
      <c r="L49" s="11"/>
    </row>
    <row r="50" spans="1:12" ht="12.75">
      <c r="A50" s="134"/>
      <c r="B50" s="57">
        <v>415000</v>
      </c>
      <c r="C50" s="137"/>
      <c r="D50" s="160" t="s">
        <v>133</v>
      </c>
      <c r="E50" s="188">
        <f>SUM(E51:E51)</f>
        <v>1000</v>
      </c>
      <c r="F50" s="188">
        <f>SUM(F51:F51)</f>
        <v>0</v>
      </c>
      <c r="G50" s="188">
        <f>SUM(G51:G51)</f>
        <v>1000</v>
      </c>
      <c r="H50" s="150">
        <f t="shared" si="8"/>
        <v>100</v>
      </c>
      <c r="I50" s="186">
        <f t="shared" si="6"/>
        <v>0.003282994090610637</v>
      </c>
      <c r="J50" s="6"/>
      <c r="K50" s="11"/>
      <c r="L50" s="11"/>
    </row>
    <row r="51" spans="1:12" ht="14.25" customHeight="1">
      <c r="A51" s="134" t="s">
        <v>54</v>
      </c>
      <c r="B51" s="57"/>
      <c r="C51" s="137">
        <v>415200</v>
      </c>
      <c r="D51" s="93" t="s">
        <v>288</v>
      </c>
      <c r="E51" s="159">
        <v>1000</v>
      </c>
      <c r="F51" s="159">
        <f>G51-E51</f>
        <v>0</v>
      </c>
      <c r="G51" s="159">
        <v>1000</v>
      </c>
      <c r="H51" s="153">
        <f t="shared" si="8"/>
        <v>100</v>
      </c>
      <c r="I51" s="435">
        <f t="shared" si="6"/>
        <v>0.003282994090610637</v>
      </c>
      <c r="J51" s="6"/>
      <c r="K51" s="11"/>
      <c r="L51" s="11"/>
    </row>
    <row r="52" spans="1:12" ht="26.25" customHeight="1">
      <c r="A52" s="134"/>
      <c r="B52" s="57"/>
      <c r="C52" s="71"/>
      <c r="D52" s="148" t="s">
        <v>483</v>
      </c>
      <c r="E52" s="188">
        <f>SUM(E53:E57)</f>
        <v>248000</v>
      </c>
      <c r="F52" s="188">
        <f>SUM(F53:F57)</f>
        <v>0</v>
      </c>
      <c r="G52" s="188">
        <f>SUM(G53:G57)</f>
        <v>248000</v>
      </c>
      <c r="H52" s="150">
        <f t="shared" si="8"/>
        <v>100</v>
      </c>
      <c r="I52" s="186">
        <f t="shared" si="6"/>
        <v>0.8141825344714378</v>
      </c>
      <c r="J52" s="6"/>
      <c r="K52" s="12"/>
      <c r="L52" s="11"/>
    </row>
    <row r="53" spans="1:12" ht="12.75">
      <c r="A53" s="134" t="s">
        <v>54</v>
      </c>
      <c r="B53" s="57"/>
      <c r="C53" s="71">
        <v>412500</v>
      </c>
      <c r="D53" s="93" t="s">
        <v>124</v>
      </c>
      <c r="E53" s="159">
        <v>10000</v>
      </c>
      <c r="F53" s="159">
        <f>G53-E53</f>
        <v>0</v>
      </c>
      <c r="G53" s="159">
        <v>10000</v>
      </c>
      <c r="H53" s="153">
        <f t="shared" si="8"/>
        <v>100</v>
      </c>
      <c r="I53" s="435">
        <f t="shared" si="6"/>
        <v>0.032829940906106365</v>
      </c>
      <c r="J53" s="6"/>
      <c r="K53" s="11"/>
      <c r="L53" s="11"/>
    </row>
    <row r="54" spans="1:12" ht="15" customHeight="1">
      <c r="A54" s="134" t="s">
        <v>54</v>
      </c>
      <c r="B54" s="57"/>
      <c r="C54" s="71">
        <v>511200</v>
      </c>
      <c r="D54" s="130" t="s">
        <v>147</v>
      </c>
      <c r="E54" s="159">
        <v>5000</v>
      </c>
      <c r="F54" s="159">
        <f>G54-E54</f>
        <v>0</v>
      </c>
      <c r="G54" s="159">
        <v>5000</v>
      </c>
      <c r="H54" s="153">
        <f t="shared" si="8"/>
        <v>100</v>
      </c>
      <c r="I54" s="435">
        <f t="shared" si="6"/>
        <v>0.016414970453053183</v>
      </c>
      <c r="J54" s="6"/>
      <c r="K54" s="11"/>
      <c r="L54" s="11"/>
    </row>
    <row r="55" spans="1:12" ht="12.75">
      <c r="A55" s="134" t="s">
        <v>54</v>
      </c>
      <c r="B55" s="57"/>
      <c r="C55" s="71">
        <v>511300</v>
      </c>
      <c r="D55" s="98" t="s">
        <v>2</v>
      </c>
      <c r="E55" s="159">
        <v>208000</v>
      </c>
      <c r="F55" s="159">
        <f>G55-E55</f>
        <v>0</v>
      </c>
      <c r="G55" s="159">
        <v>208000</v>
      </c>
      <c r="H55" s="153">
        <f t="shared" si="8"/>
        <v>100</v>
      </c>
      <c r="I55" s="435">
        <f t="shared" si="6"/>
        <v>0.6828627708470125</v>
      </c>
      <c r="J55" s="6"/>
      <c r="K55" s="11"/>
      <c r="L55" s="11"/>
    </row>
    <row r="56" spans="1:12" ht="12.75">
      <c r="A56" s="141" t="s">
        <v>54</v>
      </c>
      <c r="B56" s="57"/>
      <c r="C56" s="71">
        <v>511400</v>
      </c>
      <c r="D56" s="98" t="s">
        <v>294</v>
      </c>
      <c r="E56" s="157">
        <v>10000</v>
      </c>
      <c r="F56" s="159">
        <f>G56-E56</f>
        <v>0</v>
      </c>
      <c r="G56" s="157">
        <v>10000</v>
      </c>
      <c r="H56" s="153">
        <f t="shared" si="8"/>
        <v>100</v>
      </c>
      <c r="I56" s="435">
        <f t="shared" si="6"/>
        <v>0.032829940906106365</v>
      </c>
      <c r="J56" s="6"/>
      <c r="K56" s="11"/>
      <c r="L56" s="11"/>
    </row>
    <row r="57" spans="1:12" ht="12.75">
      <c r="A57" s="141" t="s">
        <v>54</v>
      </c>
      <c r="B57" s="57"/>
      <c r="C57" s="71">
        <v>516100</v>
      </c>
      <c r="D57" s="98" t="s">
        <v>242</v>
      </c>
      <c r="E57" s="157">
        <v>15000</v>
      </c>
      <c r="F57" s="159">
        <f>G57-E57</f>
        <v>0</v>
      </c>
      <c r="G57" s="157">
        <v>15000</v>
      </c>
      <c r="H57" s="153">
        <f t="shared" si="8"/>
        <v>100</v>
      </c>
      <c r="I57" s="435">
        <f t="shared" si="6"/>
        <v>0.04924491135915955</v>
      </c>
      <c r="J57" s="6"/>
      <c r="K57" s="11"/>
      <c r="L57" s="11"/>
    </row>
    <row r="58" spans="1:12" ht="26.25" customHeight="1">
      <c r="A58" s="515"/>
      <c r="B58" s="516"/>
      <c r="C58" s="507" t="s">
        <v>268</v>
      </c>
      <c r="D58" s="514"/>
      <c r="E58" s="172">
        <f>E43+E50+E52</f>
        <v>272750</v>
      </c>
      <c r="F58" s="172">
        <f>F43+F50+F52</f>
        <v>0</v>
      </c>
      <c r="G58" s="172">
        <f>G43+G50+G52</f>
        <v>272750</v>
      </c>
      <c r="H58" s="390">
        <f t="shared" si="8"/>
        <v>100</v>
      </c>
      <c r="I58" s="366">
        <f t="shared" si="6"/>
        <v>0.8954366382140512</v>
      </c>
      <c r="J58" s="6"/>
      <c r="K58" s="12"/>
      <c r="L58" s="11"/>
    </row>
    <row r="59" spans="1:12" ht="12.75">
      <c r="A59" s="544"/>
      <c r="B59" s="545"/>
      <c r="C59" s="529" t="s">
        <v>589</v>
      </c>
      <c r="D59" s="530"/>
      <c r="E59" s="191"/>
      <c r="F59" s="191"/>
      <c r="G59" s="191"/>
      <c r="H59" s="191"/>
      <c r="I59" s="192"/>
      <c r="J59" s="8"/>
      <c r="K59" s="11"/>
      <c r="L59" s="11"/>
    </row>
    <row r="60" spans="1:12" ht="12.75">
      <c r="A60" s="546"/>
      <c r="B60" s="547"/>
      <c r="C60" s="531"/>
      <c r="D60" s="532"/>
      <c r="E60" s="193"/>
      <c r="F60" s="193"/>
      <c r="G60" s="193"/>
      <c r="H60" s="193"/>
      <c r="I60" s="194"/>
      <c r="J60" s="8"/>
      <c r="K60" s="11"/>
      <c r="L60" s="11"/>
    </row>
    <row r="61" spans="1:12" ht="16.5" customHeight="1">
      <c r="A61" s="548"/>
      <c r="B61" s="549"/>
      <c r="C61" s="533"/>
      <c r="D61" s="534"/>
      <c r="E61" s="193"/>
      <c r="F61" s="193"/>
      <c r="G61" s="193"/>
      <c r="H61" s="193"/>
      <c r="I61" s="194"/>
      <c r="J61" s="8"/>
      <c r="K61" s="11"/>
      <c r="L61" s="11"/>
    </row>
    <row r="62" spans="1:12" ht="12.75">
      <c r="A62" s="134"/>
      <c r="B62" s="195" t="s">
        <v>357</v>
      </c>
      <c r="C62" s="196"/>
      <c r="D62" s="197" t="s">
        <v>119</v>
      </c>
      <c r="E62" s="188">
        <f>SUM(E63:E65)</f>
        <v>4000</v>
      </c>
      <c r="F62" s="188">
        <f>SUM(F63:F65)</f>
        <v>0</v>
      </c>
      <c r="G62" s="188">
        <f>SUM(G63:G65)</f>
        <v>4000</v>
      </c>
      <c r="H62" s="188">
        <f>G62/E62*100</f>
        <v>100</v>
      </c>
      <c r="I62" s="155">
        <f aca="true" t="shared" si="9" ref="I62:I71">G62/$G$604*100</f>
        <v>0.013131976362442548</v>
      </c>
      <c r="J62" s="8"/>
      <c r="K62" s="11"/>
      <c r="L62" s="11"/>
    </row>
    <row r="63" spans="1:12" ht="12.75">
      <c r="A63" s="134" t="s">
        <v>54</v>
      </c>
      <c r="B63" s="57"/>
      <c r="C63" s="82">
        <v>412900</v>
      </c>
      <c r="D63" s="93" t="s">
        <v>272</v>
      </c>
      <c r="E63" s="153">
        <v>2000</v>
      </c>
      <c r="F63" s="153">
        <f>G63-E63</f>
        <v>0</v>
      </c>
      <c r="G63" s="153">
        <v>2000</v>
      </c>
      <c r="H63" s="199">
        <f aca="true" t="shared" si="10" ref="H63:H71">G63/E63*100</f>
        <v>100</v>
      </c>
      <c r="I63" s="75">
        <f t="shared" si="9"/>
        <v>0.006565988181221274</v>
      </c>
      <c r="J63" s="8"/>
      <c r="K63" s="11"/>
      <c r="L63" s="11"/>
    </row>
    <row r="64" spans="1:12" ht="23.25" customHeight="1">
      <c r="A64" s="134" t="s">
        <v>54</v>
      </c>
      <c r="B64" s="57"/>
      <c r="C64" s="82">
        <v>412900</v>
      </c>
      <c r="D64" s="93" t="s">
        <v>301</v>
      </c>
      <c r="E64" s="153">
        <v>2000</v>
      </c>
      <c r="F64" s="153">
        <f>G64-E64</f>
        <v>0</v>
      </c>
      <c r="G64" s="153">
        <v>2000</v>
      </c>
      <c r="H64" s="199">
        <f t="shared" si="10"/>
        <v>100</v>
      </c>
      <c r="I64" s="75">
        <f t="shared" si="9"/>
        <v>0.006565988181221274</v>
      </c>
      <c r="J64" s="8"/>
      <c r="K64" s="11"/>
      <c r="L64" s="11"/>
    </row>
    <row r="65" spans="1:12" ht="0.75" customHeight="1" hidden="1">
      <c r="A65" s="134" t="s">
        <v>54</v>
      </c>
      <c r="B65" s="57"/>
      <c r="C65" s="82">
        <v>412900</v>
      </c>
      <c r="D65" s="93" t="s">
        <v>443</v>
      </c>
      <c r="E65" s="200">
        <v>0</v>
      </c>
      <c r="F65" s="200">
        <v>0</v>
      </c>
      <c r="G65" s="200">
        <v>0</v>
      </c>
      <c r="H65" s="188" t="e">
        <f t="shared" si="10"/>
        <v>#DIV/0!</v>
      </c>
      <c r="I65" s="155">
        <f t="shared" si="9"/>
        <v>0</v>
      </c>
      <c r="J65" s="8"/>
      <c r="K65" s="11"/>
      <c r="L65" s="11"/>
    </row>
    <row r="66" spans="1:12" ht="12.75">
      <c r="A66" s="134"/>
      <c r="B66" s="57">
        <v>416000</v>
      </c>
      <c r="C66" s="82"/>
      <c r="D66" s="148" t="s">
        <v>1</v>
      </c>
      <c r="E66" s="188">
        <f>SUM(E67:E68)</f>
        <v>5000</v>
      </c>
      <c r="F66" s="188">
        <f>SUM(F67:F68)</f>
        <v>0</v>
      </c>
      <c r="G66" s="188">
        <f>SUM(G67:G68)</f>
        <v>5000</v>
      </c>
      <c r="H66" s="188">
        <f t="shared" si="10"/>
        <v>100</v>
      </c>
      <c r="I66" s="155">
        <f t="shared" si="9"/>
        <v>0.016414970453053183</v>
      </c>
      <c r="J66" s="8"/>
      <c r="K66" s="11"/>
      <c r="L66" s="11"/>
    </row>
    <row r="67" spans="1:12" ht="13.5" customHeight="1">
      <c r="A67" s="134" t="s">
        <v>54</v>
      </c>
      <c r="B67" s="57"/>
      <c r="C67" s="82">
        <v>416100</v>
      </c>
      <c r="D67" s="93" t="s">
        <v>195</v>
      </c>
      <c r="E67" s="201">
        <v>5000</v>
      </c>
      <c r="F67" s="201">
        <f>G67-E67</f>
        <v>0</v>
      </c>
      <c r="G67" s="201">
        <v>5000</v>
      </c>
      <c r="H67" s="199">
        <f t="shared" si="10"/>
        <v>100</v>
      </c>
      <c r="I67" s="75">
        <f t="shared" si="9"/>
        <v>0.016414970453053183</v>
      </c>
      <c r="J67" s="8"/>
      <c r="K67" s="11"/>
      <c r="L67" s="11"/>
    </row>
    <row r="68" spans="1:12" ht="19.5" customHeight="1" hidden="1">
      <c r="A68" s="134" t="s">
        <v>54</v>
      </c>
      <c r="B68" s="57"/>
      <c r="C68" s="82">
        <v>416100</v>
      </c>
      <c r="D68" s="93" t="s">
        <v>446</v>
      </c>
      <c r="E68" s="201">
        <v>0</v>
      </c>
      <c r="F68" s="201">
        <v>0</v>
      </c>
      <c r="G68" s="201">
        <v>0</v>
      </c>
      <c r="H68" s="188" t="e">
        <f t="shared" si="10"/>
        <v>#DIV/0!</v>
      </c>
      <c r="I68" s="155">
        <f t="shared" si="9"/>
        <v>0</v>
      </c>
      <c r="J68" s="8"/>
      <c r="K68" s="11"/>
      <c r="L68" s="11"/>
    </row>
    <row r="69" spans="1:12" ht="12.75">
      <c r="A69" s="134"/>
      <c r="B69" s="57">
        <v>511000</v>
      </c>
      <c r="C69" s="82"/>
      <c r="D69" s="148" t="s">
        <v>137</v>
      </c>
      <c r="E69" s="188">
        <f>SUM(E70)</f>
        <v>8000</v>
      </c>
      <c r="F69" s="188">
        <f>SUM(F70)</f>
        <v>0</v>
      </c>
      <c r="G69" s="188">
        <f>SUM(G70)</f>
        <v>8000</v>
      </c>
      <c r="H69" s="188">
        <f t="shared" si="10"/>
        <v>100</v>
      </c>
      <c r="I69" s="155">
        <f t="shared" si="9"/>
        <v>0.026263952724885097</v>
      </c>
      <c r="J69" s="8"/>
      <c r="K69" s="11"/>
      <c r="L69" s="11"/>
    </row>
    <row r="70" spans="1:12" ht="12.75">
      <c r="A70" s="134" t="s">
        <v>54</v>
      </c>
      <c r="B70" s="57"/>
      <c r="C70" s="82">
        <v>511300</v>
      </c>
      <c r="D70" s="93" t="s">
        <v>273</v>
      </c>
      <c r="E70" s="201">
        <v>8000</v>
      </c>
      <c r="F70" s="201">
        <f>G70-E70</f>
        <v>0</v>
      </c>
      <c r="G70" s="201">
        <v>8000</v>
      </c>
      <c r="H70" s="199">
        <f t="shared" si="10"/>
        <v>100</v>
      </c>
      <c r="I70" s="75">
        <f t="shared" si="9"/>
        <v>0.026263952724885097</v>
      </c>
      <c r="J70" s="8"/>
      <c r="K70" s="11"/>
      <c r="L70" s="11"/>
    </row>
    <row r="71" spans="1:12" ht="28.5" customHeight="1">
      <c r="A71" s="515"/>
      <c r="B71" s="516"/>
      <c r="C71" s="507" t="s">
        <v>441</v>
      </c>
      <c r="D71" s="507"/>
      <c r="E71" s="172">
        <f>E62+E66+E69</f>
        <v>17000</v>
      </c>
      <c r="F71" s="172">
        <f>F62+F66+F69</f>
        <v>0</v>
      </c>
      <c r="G71" s="172">
        <f>G62+G66+G69</f>
        <v>17000</v>
      </c>
      <c r="H71" s="391">
        <f t="shared" si="10"/>
        <v>100</v>
      </c>
      <c r="I71" s="441">
        <f t="shared" si="9"/>
        <v>0.05581089954038083</v>
      </c>
      <c r="J71" s="8"/>
      <c r="K71" s="12"/>
      <c r="L71" s="11"/>
    </row>
    <row r="72" spans="1:12" ht="9.75" customHeight="1">
      <c r="A72" s="515"/>
      <c r="B72" s="516"/>
      <c r="C72" s="521" t="s">
        <v>588</v>
      </c>
      <c r="D72" s="526"/>
      <c r="E72" s="202"/>
      <c r="F72" s="202"/>
      <c r="G72" s="202"/>
      <c r="H72" s="202"/>
      <c r="I72" s="203"/>
      <c r="J72" s="6"/>
      <c r="K72" s="11"/>
      <c r="L72" s="11"/>
    </row>
    <row r="73" spans="1:12" ht="9.75" customHeight="1">
      <c r="A73" s="515"/>
      <c r="B73" s="516"/>
      <c r="C73" s="521"/>
      <c r="D73" s="526"/>
      <c r="E73" s="204"/>
      <c r="F73" s="204"/>
      <c r="G73" s="204"/>
      <c r="H73" s="204"/>
      <c r="I73" s="205"/>
      <c r="J73" s="6"/>
      <c r="K73" s="11"/>
      <c r="L73" s="11"/>
    </row>
    <row r="74" spans="1:12" ht="17.25" customHeight="1">
      <c r="A74" s="515"/>
      <c r="B74" s="516"/>
      <c r="C74" s="521"/>
      <c r="D74" s="526"/>
      <c r="E74" s="206"/>
      <c r="F74" s="206"/>
      <c r="G74" s="206"/>
      <c r="H74" s="206"/>
      <c r="I74" s="207"/>
      <c r="J74" s="6"/>
      <c r="K74" s="11"/>
      <c r="L74" s="11"/>
    </row>
    <row r="75" spans="1:12" ht="14.25" customHeight="1">
      <c r="A75" s="134"/>
      <c r="B75" s="57">
        <v>412000</v>
      </c>
      <c r="C75" s="64"/>
      <c r="D75" s="148" t="s">
        <v>119</v>
      </c>
      <c r="E75" s="150">
        <f>SUM(E76:E81)</f>
        <v>46000</v>
      </c>
      <c r="F75" s="150">
        <f>SUM(F76:F81)</f>
        <v>6350</v>
      </c>
      <c r="G75" s="150">
        <f>SUM(G76:G81)</f>
        <v>52350</v>
      </c>
      <c r="H75" s="150">
        <f>G75/E75*100</f>
        <v>113.80434782608695</v>
      </c>
      <c r="I75" s="151">
        <f aca="true" t="shared" si="11" ref="I75:I87">G75/$G$604*100</f>
        <v>0.17186474064346685</v>
      </c>
      <c r="J75" s="6"/>
      <c r="K75" s="11"/>
      <c r="L75" s="11"/>
    </row>
    <row r="76" spans="1:12" ht="12.75" customHeight="1">
      <c r="A76" s="134" t="s">
        <v>23</v>
      </c>
      <c r="B76" s="137"/>
      <c r="C76" s="71">
        <v>412700</v>
      </c>
      <c r="D76" s="137" t="s">
        <v>143</v>
      </c>
      <c r="E76" s="157">
        <v>2500</v>
      </c>
      <c r="F76" s="157">
        <f aca="true" t="shared" si="12" ref="F76:F81">G76-E76</f>
        <v>4700</v>
      </c>
      <c r="G76" s="157">
        <v>7200</v>
      </c>
      <c r="H76" s="153">
        <f aca="true" t="shared" si="13" ref="H76:H87">G76/E76*100</f>
        <v>288</v>
      </c>
      <c r="I76" s="221">
        <f t="shared" si="11"/>
        <v>0.023637557452396585</v>
      </c>
      <c r="J76" s="6"/>
      <c r="K76" s="11"/>
      <c r="L76" s="11"/>
    </row>
    <row r="77" spans="1:12" ht="12.75" customHeight="1">
      <c r="A77" s="134" t="s">
        <v>32</v>
      </c>
      <c r="B77" s="137"/>
      <c r="C77" s="71">
        <v>412700</v>
      </c>
      <c r="D77" s="137" t="s">
        <v>105</v>
      </c>
      <c r="E77" s="157">
        <v>12100</v>
      </c>
      <c r="F77" s="157">
        <f t="shared" si="12"/>
        <v>0</v>
      </c>
      <c r="G77" s="157">
        <v>12100</v>
      </c>
      <c r="H77" s="153">
        <f t="shared" si="13"/>
        <v>100</v>
      </c>
      <c r="I77" s="221">
        <f t="shared" si="11"/>
        <v>0.03972422849638871</v>
      </c>
      <c r="J77" s="6"/>
      <c r="K77" s="11"/>
      <c r="L77" s="11"/>
    </row>
    <row r="78" spans="1:12" ht="12.75" customHeight="1">
      <c r="A78" s="134" t="s">
        <v>23</v>
      </c>
      <c r="B78" s="137"/>
      <c r="C78" s="71">
        <v>412900</v>
      </c>
      <c r="D78" s="93" t="s">
        <v>0</v>
      </c>
      <c r="E78" s="157">
        <v>300</v>
      </c>
      <c r="F78" s="157">
        <f t="shared" si="12"/>
        <v>0</v>
      </c>
      <c r="G78" s="157">
        <v>300</v>
      </c>
      <c r="H78" s="153">
        <f t="shared" si="13"/>
        <v>100</v>
      </c>
      <c r="I78" s="221">
        <f t="shared" si="11"/>
        <v>0.0009848982271831912</v>
      </c>
      <c r="J78" s="6"/>
      <c r="K78" s="11"/>
      <c r="L78" s="11"/>
    </row>
    <row r="79" spans="1:12" ht="12.75" customHeight="1">
      <c r="A79" s="134" t="s">
        <v>23</v>
      </c>
      <c r="B79" s="137"/>
      <c r="C79" s="71">
        <v>412900</v>
      </c>
      <c r="D79" s="98" t="s">
        <v>181</v>
      </c>
      <c r="E79" s="157">
        <v>11100</v>
      </c>
      <c r="F79" s="157">
        <f t="shared" si="12"/>
        <v>0</v>
      </c>
      <c r="G79" s="157">
        <v>11100</v>
      </c>
      <c r="H79" s="153">
        <f t="shared" si="13"/>
        <v>100</v>
      </c>
      <c r="I79" s="221">
        <f t="shared" si="11"/>
        <v>0.03644123440577807</v>
      </c>
      <c r="J79" s="6"/>
      <c r="K79" s="11"/>
      <c r="L79" s="11"/>
    </row>
    <row r="80" spans="1:12" ht="14.25" customHeight="1">
      <c r="A80" s="134" t="s">
        <v>23</v>
      </c>
      <c r="B80" s="137"/>
      <c r="C80" s="211">
        <v>412900</v>
      </c>
      <c r="D80" s="98" t="s">
        <v>449</v>
      </c>
      <c r="E80" s="157">
        <v>20000</v>
      </c>
      <c r="F80" s="157">
        <f t="shared" si="12"/>
        <v>0</v>
      </c>
      <c r="G80" s="157">
        <v>20000</v>
      </c>
      <c r="H80" s="153">
        <f t="shared" si="13"/>
        <v>100</v>
      </c>
      <c r="I80" s="221">
        <f t="shared" si="11"/>
        <v>0.06565988181221273</v>
      </c>
      <c r="J80" s="6"/>
      <c r="K80" s="11"/>
      <c r="L80" s="11"/>
    </row>
    <row r="81" spans="1:12" ht="14.25" customHeight="1">
      <c r="A81" s="134" t="s">
        <v>23</v>
      </c>
      <c r="B81" s="137"/>
      <c r="C81" s="211">
        <v>412900</v>
      </c>
      <c r="D81" s="98" t="s">
        <v>128</v>
      </c>
      <c r="E81" s="157">
        <v>0</v>
      </c>
      <c r="F81" s="157">
        <f t="shared" si="12"/>
        <v>1650</v>
      </c>
      <c r="G81" s="157">
        <v>1650</v>
      </c>
      <c r="H81" s="153" t="e">
        <f t="shared" si="13"/>
        <v>#DIV/0!</v>
      </c>
      <c r="I81" s="221">
        <f t="shared" si="11"/>
        <v>0.00541694024950755</v>
      </c>
      <c r="J81" s="6"/>
      <c r="K81" s="11"/>
      <c r="L81" s="11"/>
    </row>
    <row r="82" spans="1:12" ht="14.25" customHeight="1">
      <c r="A82" s="134"/>
      <c r="B82" s="137"/>
      <c r="C82" s="71"/>
      <c r="D82" s="97" t="s">
        <v>117</v>
      </c>
      <c r="E82" s="188">
        <f>SUM(E83:E86)</f>
        <v>12000</v>
      </c>
      <c r="F82" s="188">
        <f>SUM(F83:F86)</f>
        <v>210.60000000000002</v>
      </c>
      <c r="G82" s="188">
        <f>SUM(G83:G86)</f>
        <v>12210.6</v>
      </c>
      <c r="H82" s="150">
        <f t="shared" si="13"/>
        <v>101.755</v>
      </c>
      <c r="I82" s="151">
        <f t="shared" si="11"/>
        <v>0.04008732764281025</v>
      </c>
      <c r="J82" s="6"/>
      <c r="K82" s="11"/>
      <c r="L82" s="11"/>
    </row>
    <row r="83" spans="1:12" ht="14.25" customHeight="1">
      <c r="A83" s="134" t="s">
        <v>35</v>
      </c>
      <c r="B83" s="137"/>
      <c r="C83" s="71">
        <v>412300</v>
      </c>
      <c r="D83" s="98" t="s">
        <v>234</v>
      </c>
      <c r="E83" s="157">
        <v>1000</v>
      </c>
      <c r="F83" s="157">
        <f>G83-E83</f>
        <v>0</v>
      </c>
      <c r="G83" s="157">
        <v>1000</v>
      </c>
      <c r="H83" s="153">
        <f t="shared" si="13"/>
        <v>100</v>
      </c>
      <c r="I83" s="221">
        <f t="shared" si="11"/>
        <v>0.003282994090610637</v>
      </c>
      <c r="J83" s="6"/>
      <c r="K83" s="11"/>
      <c r="L83" s="11"/>
    </row>
    <row r="84" spans="1:12" ht="13.5" customHeight="1">
      <c r="A84" s="136" t="s">
        <v>35</v>
      </c>
      <c r="B84" s="208"/>
      <c r="C84" s="102">
        <v>412500</v>
      </c>
      <c r="D84" s="98" t="s">
        <v>227</v>
      </c>
      <c r="E84" s="159">
        <v>7000</v>
      </c>
      <c r="F84" s="157">
        <f>G84-E84</f>
        <v>-800</v>
      </c>
      <c r="G84" s="159">
        <v>6200</v>
      </c>
      <c r="H84" s="153">
        <f t="shared" si="13"/>
        <v>88.57142857142857</v>
      </c>
      <c r="I84" s="221">
        <f t="shared" si="11"/>
        <v>0.020354563361785948</v>
      </c>
      <c r="J84" s="8"/>
      <c r="K84" s="11"/>
      <c r="L84" s="11"/>
    </row>
    <row r="85" spans="1:12" ht="12.75" customHeight="1">
      <c r="A85" s="134" t="s">
        <v>35</v>
      </c>
      <c r="B85" s="137"/>
      <c r="C85" s="71">
        <v>412900</v>
      </c>
      <c r="D85" s="98" t="s">
        <v>228</v>
      </c>
      <c r="E85" s="159">
        <v>4000</v>
      </c>
      <c r="F85" s="157">
        <f>G85-E85</f>
        <v>0</v>
      </c>
      <c r="G85" s="159">
        <v>4000</v>
      </c>
      <c r="H85" s="153">
        <f t="shared" si="13"/>
        <v>100</v>
      </c>
      <c r="I85" s="221">
        <f t="shared" si="11"/>
        <v>0.013131976362442548</v>
      </c>
      <c r="J85" s="6"/>
      <c r="K85" s="11"/>
      <c r="L85" s="11"/>
    </row>
    <row r="86" spans="1:12" ht="24" customHeight="1">
      <c r="A86" s="134" t="s">
        <v>35</v>
      </c>
      <c r="B86" s="137"/>
      <c r="C86" s="71">
        <v>412900</v>
      </c>
      <c r="D86" s="98" t="s">
        <v>701</v>
      </c>
      <c r="E86" s="159">
        <v>0</v>
      </c>
      <c r="F86" s="157">
        <f>G86-E86</f>
        <v>1010.6</v>
      </c>
      <c r="G86" s="159">
        <v>1010.6</v>
      </c>
      <c r="H86" s="153" t="e">
        <f t="shared" si="13"/>
        <v>#DIV/0!</v>
      </c>
      <c r="I86" s="221">
        <f t="shared" si="11"/>
        <v>0.00331779382797111</v>
      </c>
      <c r="J86" s="6"/>
      <c r="K86" s="11"/>
      <c r="L86" s="11"/>
    </row>
    <row r="87" spans="1:12" ht="25.5" customHeight="1">
      <c r="A87" s="527"/>
      <c r="B87" s="528"/>
      <c r="C87" s="507" t="s">
        <v>80</v>
      </c>
      <c r="D87" s="514"/>
      <c r="E87" s="172">
        <f>E75+E82</f>
        <v>58000</v>
      </c>
      <c r="F87" s="172">
        <f>F75+F82</f>
        <v>6560.6</v>
      </c>
      <c r="G87" s="172">
        <f>G75+G82</f>
        <v>64560.6</v>
      </c>
      <c r="H87" s="390">
        <f t="shared" si="13"/>
        <v>111.31137931034483</v>
      </c>
      <c r="I87" s="440">
        <f t="shared" si="11"/>
        <v>0.21195206828627708</v>
      </c>
      <c r="J87" s="6"/>
      <c r="K87" s="12"/>
      <c r="L87" s="11"/>
    </row>
    <row r="88" spans="1:12" ht="9.75" customHeight="1">
      <c r="A88" s="515"/>
      <c r="B88" s="516"/>
      <c r="C88" s="521" t="s">
        <v>587</v>
      </c>
      <c r="D88" s="526"/>
      <c r="E88" s="202"/>
      <c r="F88" s="202"/>
      <c r="G88" s="202"/>
      <c r="H88" s="202"/>
      <c r="I88" s="203"/>
      <c r="J88" s="6"/>
      <c r="K88" s="11"/>
      <c r="L88" s="11"/>
    </row>
    <row r="89" spans="1:12" ht="9.75" customHeight="1">
      <c r="A89" s="515"/>
      <c r="B89" s="516"/>
      <c r="C89" s="521"/>
      <c r="D89" s="526"/>
      <c r="E89" s="204"/>
      <c r="F89" s="204"/>
      <c r="G89" s="204"/>
      <c r="H89" s="204"/>
      <c r="I89" s="205"/>
      <c r="J89" s="6"/>
      <c r="K89" s="11"/>
      <c r="L89" s="11"/>
    </row>
    <row r="90" spans="1:12" ht="18.75" customHeight="1">
      <c r="A90" s="515"/>
      <c r="B90" s="516"/>
      <c r="C90" s="521"/>
      <c r="D90" s="526"/>
      <c r="E90" s="206"/>
      <c r="F90" s="206"/>
      <c r="G90" s="206"/>
      <c r="H90" s="206"/>
      <c r="I90" s="207"/>
      <c r="J90" s="6"/>
      <c r="K90" s="11"/>
      <c r="L90" s="11"/>
    </row>
    <row r="91" spans="1:12" ht="16.5" customHeight="1">
      <c r="A91" s="134"/>
      <c r="B91" s="57">
        <v>411000</v>
      </c>
      <c r="C91" s="209"/>
      <c r="D91" s="76" t="s">
        <v>265</v>
      </c>
      <c r="E91" s="149">
        <f>SUM(E92:E95)</f>
        <v>4009000</v>
      </c>
      <c r="F91" s="149">
        <f>SUM(F92:F95)</f>
        <v>360490</v>
      </c>
      <c r="G91" s="149">
        <f>SUM(G92:G95)</f>
        <v>4369490</v>
      </c>
      <c r="H91" s="150">
        <f>G91/E91*100</f>
        <v>108.99201795959092</v>
      </c>
      <c r="I91" s="151">
        <f aca="true" t="shared" si="14" ref="I91:I105">G91/$G$604*100</f>
        <v>14.34500984898227</v>
      </c>
      <c r="J91" s="6"/>
      <c r="K91" s="12"/>
      <c r="L91" s="11"/>
    </row>
    <row r="92" spans="1:12" ht="12.75" customHeight="1">
      <c r="A92" s="134" t="s">
        <v>23</v>
      </c>
      <c r="B92" s="137"/>
      <c r="C92" s="71">
        <v>411100</v>
      </c>
      <c r="D92" s="77" t="s">
        <v>321</v>
      </c>
      <c r="E92" s="201">
        <v>3050000</v>
      </c>
      <c r="F92" s="201">
        <f>G92-E92</f>
        <v>161000</v>
      </c>
      <c r="G92" s="201">
        <v>3211000</v>
      </c>
      <c r="H92" s="153">
        <f aca="true" t="shared" si="15" ref="H92:H105">G92/E92*100</f>
        <v>105.27868852459017</v>
      </c>
      <c r="I92" s="221">
        <f t="shared" si="14"/>
        <v>10.541694024950756</v>
      </c>
      <c r="J92" s="337"/>
      <c r="K92" s="12"/>
      <c r="L92" s="11"/>
    </row>
    <row r="93" spans="1:12" ht="26.25" customHeight="1">
      <c r="A93" s="134" t="s">
        <v>23</v>
      </c>
      <c r="B93" s="137"/>
      <c r="C93" s="71">
        <v>411200</v>
      </c>
      <c r="D93" s="77" t="s">
        <v>326</v>
      </c>
      <c r="E93" s="159">
        <v>740000</v>
      </c>
      <c r="F93" s="201">
        <f>G93-E93</f>
        <v>168000</v>
      </c>
      <c r="G93" s="159">
        <v>908000</v>
      </c>
      <c r="H93" s="153">
        <f t="shared" si="15"/>
        <v>122.7027027027027</v>
      </c>
      <c r="I93" s="221">
        <f t="shared" si="14"/>
        <v>2.980958634274458</v>
      </c>
      <c r="J93" s="6"/>
      <c r="K93" s="12"/>
      <c r="L93" s="11"/>
    </row>
    <row r="94" spans="1:12" ht="25.5">
      <c r="A94" s="134" t="s">
        <v>23</v>
      </c>
      <c r="B94" s="137"/>
      <c r="C94" s="71">
        <v>411300</v>
      </c>
      <c r="D94" s="77" t="s">
        <v>408</v>
      </c>
      <c r="E94" s="159">
        <v>84000</v>
      </c>
      <c r="F94" s="201">
        <f>G94-E94</f>
        <v>36000</v>
      </c>
      <c r="G94" s="159">
        <v>120000</v>
      </c>
      <c r="H94" s="153">
        <f t="shared" si="15"/>
        <v>142.85714285714286</v>
      </c>
      <c r="I94" s="221">
        <f t="shared" si="14"/>
        <v>0.3939592908732764</v>
      </c>
      <c r="J94" s="6"/>
      <c r="K94" s="12"/>
      <c r="L94" s="11"/>
    </row>
    <row r="95" spans="1:12" ht="12.75" customHeight="1">
      <c r="A95" s="134" t="s">
        <v>23</v>
      </c>
      <c r="B95" s="137"/>
      <c r="C95" s="71">
        <v>411400</v>
      </c>
      <c r="D95" s="78" t="s">
        <v>322</v>
      </c>
      <c r="E95" s="159">
        <v>135000</v>
      </c>
      <c r="F95" s="201">
        <f>G95-E95</f>
        <v>-4510</v>
      </c>
      <c r="G95" s="159">
        <v>130490</v>
      </c>
      <c r="H95" s="153">
        <f t="shared" si="15"/>
        <v>96.65925925925926</v>
      </c>
      <c r="I95" s="221">
        <f t="shared" si="14"/>
        <v>0.428397898883782</v>
      </c>
      <c r="J95" s="6"/>
      <c r="K95" s="12"/>
      <c r="L95" s="11"/>
    </row>
    <row r="96" spans="1:12" ht="14.25" customHeight="1">
      <c r="A96" s="134"/>
      <c r="B96" s="57">
        <v>412000</v>
      </c>
      <c r="C96" s="71"/>
      <c r="D96" s="148" t="s">
        <v>119</v>
      </c>
      <c r="E96" s="188">
        <f>SUM(E97:E100)</f>
        <v>10700</v>
      </c>
      <c r="F96" s="188">
        <f>SUM(F97:F100)</f>
        <v>12612.11</v>
      </c>
      <c r="G96" s="188">
        <f>SUM(G97:G100)</f>
        <v>23312.11</v>
      </c>
      <c r="H96" s="150">
        <f t="shared" si="15"/>
        <v>217.87018691588784</v>
      </c>
      <c r="I96" s="151">
        <f t="shared" si="14"/>
        <v>0.07653351936966514</v>
      </c>
      <c r="J96" s="6"/>
      <c r="K96" s="11"/>
      <c r="L96" s="11"/>
    </row>
    <row r="97" spans="1:12" ht="12.75" customHeight="1">
      <c r="A97" s="134" t="s">
        <v>23</v>
      </c>
      <c r="B97" s="137"/>
      <c r="C97" s="71">
        <v>412700</v>
      </c>
      <c r="D97" s="137" t="s">
        <v>106</v>
      </c>
      <c r="E97" s="157">
        <v>7300</v>
      </c>
      <c r="F97" s="157">
        <f>G97-E97</f>
        <v>12.109999999999673</v>
      </c>
      <c r="G97" s="157">
        <v>7312.11</v>
      </c>
      <c r="H97" s="153">
        <f t="shared" si="15"/>
        <v>100.1658904109589</v>
      </c>
      <c r="I97" s="221">
        <f t="shared" si="14"/>
        <v>0.024005613919894944</v>
      </c>
      <c r="J97" s="6"/>
      <c r="K97" s="11"/>
      <c r="L97" s="11"/>
    </row>
    <row r="98" spans="1:12" ht="12.75" customHeight="1">
      <c r="A98" s="134" t="s">
        <v>23</v>
      </c>
      <c r="B98" s="137"/>
      <c r="C98" s="71">
        <v>412900</v>
      </c>
      <c r="D98" s="93" t="s">
        <v>0</v>
      </c>
      <c r="E98" s="157">
        <v>400</v>
      </c>
      <c r="F98" s="157">
        <f>G98-E98</f>
        <v>0</v>
      </c>
      <c r="G98" s="157">
        <v>400</v>
      </c>
      <c r="H98" s="153">
        <f t="shared" si="15"/>
        <v>100</v>
      </c>
      <c r="I98" s="221">
        <f t="shared" si="14"/>
        <v>0.0013131976362442547</v>
      </c>
      <c r="J98" s="6"/>
      <c r="K98" s="11"/>
      <c r="L98" s="11"/>
    </row>
    <row r="99" spans="1:12" ht="12.75" customHeight="1">
      <c r="A99" s="134" t="s">
        <v>23</v>
      </c>
      <c r="B99" s="137"/>
      <c r="C99" s="71">
        <v>412900</v>
      </c>
      <c r="D99" s="93" t="s">
        <v>144</v>
      </c>
      <c r="E99" s="157">
        <v>3000</v>
      </c>
      <c r="F99" s="157">
        <f>G99-E99</f>
        <v>2000</v>
      </c>
      <c r="G99" s="157">
        <v>5000</v>
      </c>
      <c r="H99" s="153">
        <f t="shared" si="15"/>
        <v>166.66666666666669</v>
      </c>
      <c r="I99" s="221">
        <f t="shared" si="14"/>
        <v>0.016414970453053183</v>
      </c>
      <c r="J99" s="6"/>
      <c r="K99" s="11"/>
      <c r="L99" s="11"/>
    </row>
    <row r="100" spans="1:12" ht="12.75" customHeight="1">
      <c r="A100" s="134" t="s">
        <v>23</v>
      </c>
      <c r="B100" s="137"/>
      <c r="C100" s="71">
        <v>412900</v>
      </c>
      <c r="D100" s="93" t="s">
        <v>128</v>
      </c>
      <c r="E100" s="157">
        <v>0</v>
      </c>
      <c r="F100" s="157">
        <f>G100-E100</f>
        <v>10600</v>
      </c>
      <c r="G100" s="157">
        <v>10600</v>
      </c>
      <c r="H100" s="153" t="e">
        <f t="shared" si="15"/>
        <v>#DIV/0!</v>
      </c>
      <c r="I100" s="221">
        <f t="shared" si="14"/>
        <v>0.03479973736047275</v>
      </c>
      <c r="J100" s="6"/>
      <c r="K100" s="11"/>
      <c r="L100" s="11"/>
    </row>
    <row r="101" spans="1:12" ht="12.75">
      <c r="A101" s="134"/>
      <c r="B101" s="57">
        <v>418000</v>
      </c>
      <c r="C101" s="71"/>
      <c r="D101" s="148" t="s">
        <v>411</v>
      </c>
      <c r="E101" s="188">
        <f>SUM(E102)</f>
        <v>8000</v>
      </c>
      <c r="F101" s="188">
        <f>SUM(F102)</f>
        <v>0</v>
      </c>
      <c r="G101" s="188">
        <f>SUM(G102)</f>
        <v>8000</v>
      </c>
      <c r="H101" s="150">
        <f t="shared" si="15"/>
        <v>100</v>
      </c>
      <c r="I101" s="151">
        <f t="shared" si="14"/>
        <v>0.026263952724885097</v>
      </c>
      <c r="J101" s="6"/>
      <c r="K101" s="11"/>
      <c r="L101" s="11"/>
    </row>
    <row r="102" spans="1:12" ht="16.5" customHeight="1">
      <c r="A102" s="134" t="s">
        <v>23</v>
      </c>
      <c r="B102" s="137"/>
      <c r="C102" s="71">
        <v>418200</v>
      </c>
      <c r="D102" s="93" t="s">
        <v>145</v>
      </c>
      <c r="E102" s="159">
        <v>8000</v>
      </c>
      <c r="F102" s="159">
        <f>G102-E102</f>
        <v>0</v>
      </c>
      <c r="G102" s="159">
        <v>8000</v>
      </c>
      <c r="H102" s="153">
        <f t="shared" si="15"/>
        <v>100</v>
      </c>
      <c r="I102" s="221">
        <f t="shared" si="14"/>
        <v>0.026263952724885097</v>
      </c>
      <c r="J102" s="6"/>
      <c r="K102" s="11"/>
      <c r="L102" s="11"/>
    </row>
    <row r="103" spans="1:12" ht="16.5" customHeight="1">
      <c r="A103" s="141"/>
      <c r="B103" s="57">
        <v>638000</v>
      </c>
      <c r="C103" s="71"/>
      <c r="D103" s="148" t="s">
        <v>323</v>
      </c>
      <c r="E103" s="188">
        <f>SUM(E104)</f>
        <v>142000</v>
      </c>
      <c r="F103" s="188">
        <f>SUM(F104)</f>
        <v>20000</v>
      </c>
      <c r="G103" s="188">
        <f>SUM(G104)</f>
        <v>162000</v>
      </c>
      <c r="H103" s="150">
        <f t="shared" si="15"/>
        <v>114.08450704225352</v>
      </c>
      <c r="I103" s="151">
        <f t="shared" si="14"/>
        <v>0.5318450426789232</v>
      </c>
      <c r="J103" s="6"/>
      <c r="K103" s="11"/>
      <c r="L103" s="11"/>
    </row>
    <row r="104" spans="1:12" ht="28.5" customHeight="1">
      <c r="A104" s="134"/>
      <c r="B104" s="137"/>
      <c r="C104" s="71">
        <v>638100</v>
      </c>
      <c r="D104" s="93" t="s">
        <v>324</v>
      </c>
      <c r="E104" s="159">
        <v>142000</v>
      </c>
      <c r="F104" s="159">
        <f>G104-E104</f>
        <v>20000</v>
      </c>
      <c r="G104" s="159">
        <v>162000</v>
      </c>
      <c r="H104" s="153">
        <f t="shared" si="15"/>
        <v>114.08450704225352</v>
      </c>
      <c r="I104" s="221">
        <f t="shared" si="14"/>
        <v>0.5318450426789232</v>
      </c>
      <c r="J104" s="337"/>
      <c r="K104" s="11"/>
      <c r="L104" s="11"/>
    </row>
    <row r="105" spans="1:12" ht="30" customHeight="1">
      <c r="A105" s="515"/>
      <c r="B105" s="516"/>
      <c r="C105" s="507" t="s">
        <v>77</v>
      </c>
      <c r="D105" s="514"/>
      <c r="E105" s="172">
        <f>E91+E96+E101+E103</f>
        <v>4169700</v>
      </c>
      <c r="F105" s="172">
        <f>F91+F96+F101+F103</f>
        <v>393102.11</v>
      </c>
      <c r="G105" s="172">
        <f>G91+G96+G101+G103</f>
        <v>4562802.11</v>
      </c>
      <c r="H105" s="390">
        <f t="shared" si="15"/>
        <v>109.42758735640454</v>
      </c>
      <c r="I105" s="440">
        <f t="shared" si="14"/>
        <v>14.979652363755747</v>
      </c>
      <c r="J105" s="19"/>
      <c r="K105" s="12"/>
      <c r="L105" s="11"/>
    </row>
    <row r="106" spans="1:12" ht="9.75" customHeight="1">
      <c r="A106" s="519"/>
      <c r="B106" s="520"/>
      <c r="C106" s="521" t="s">
        <v>586</v>
      </c>
      <c r="D106" s="526"/>
      <c r="E106" s="202"/>
      <c r="F106" s="202"/>
      <c r="G106" s="202"/>
      <c r="H106" s="202"/>
      <c r="I106" s="203"/>
      <c r="J106" s="19"/>
      <c r="K106" s="11"/>
      <c r="L106" s="11"/>
    </row>
    <row r="107" spans="1:12" ht="9.75" customHeight="1">
      <c r="A107" s="519"/>
      <c r="B107" s="520"/>
      <c r="C107" s="521"/>
      <c r="D107" s="526"/>
      <c r="E107" s="210"/>
      <c r="F107" s="459"/>
      <c r="G107" s="459"/>
      <c r="H107" s="204"/>
      <c r="I107" s="205"/>
      <c r="J107" s="19"/>
      <c r="K107" s="11"/>
      <c r="L107" s="11"/>
    </row>
    <row r="108" spans="1:12" ht="9.75" customHeight="1">
      <c r="A108" s="519"/>
      <c r="B108" s="520"/>
      <c r="C108" s="521"/>
      <c r="D108" s="526"/>
      <c r="E108" s="204"/>
      <c r="F108" s="204"/>
      <c r="G108" s="204"/>
      <c r="H108" s="204"/>
      <c r="I108" s="205"/>
      <c r="J108" s="19"/>
      <c r="K108" s="11"/>
      <c r="L108" s="11"/>
    </row>
    <row r="109" spans="1:12" ht="19.5" customHeight="1">
      <c r="A109" s="519"/>
      <c r="B109" s="520"/>
      <c r="C109" s="521"/>
      <c r="D109" s="526"/>
      <c r="E109" s="206"/>
      <c r="F109" s="206"/>
      <c r="G109" s="206"/>
      <c r="H109" s="206"/>
      <c r="I109" s="207"/>
      <c r="J109" s="19"/>
      <c r="K109" s="11"/>
      <c r="L109" s="11"/>
    </row>
    <row r="110" spans="1:12" ht="14.25" customHeight="1">
      <c r="A110" s="134"/>
      <c r="B110" s="57">
        <v>412000</v>
      </c>
      <c r="C110" s="71"/>
      <c r="D110" s="148" t="s">
        <v>119</v>
      </c>
      <c r="E110" s="150">
        <f>SUM(E111:E113)</f>
        <v>53400</v>
      </c>
      <c r="F110" s="150">
        <f>SUM(F111:F113)</f>
        <v>7020</v>
      </c>
      <c r="G110" s="150">
        <f>SUM(G111:G113)</f>
        <v>60420</v>
      </c>
      <c r="H110" s="150">
        <f>G110/E110*100</f>
        <v>113.14606741573034</v>
      </c>
      <c r="I110" s="151">
        <f aca="true" t="shared" si="16" ref="I110:I141">G110/$G$604*100</f>
        <v>0.19835850295469468</v>
      </c>
      <c r="J110" s="19"/>
      <c r="K110" s="11"/>
      <c r="L110" s="11"/>
    </row>
    <row r="111" spans="1:12" ht="13.5" customHeight="1">
      <c r="A111" s="134" t="s">
        <v>23</v>
      </c>
      <c r="B111" s="64"/>
      <c r="C111" s="137">
        <v>412700</v>
      </c>
      <c r="D111" s="93" t="s">
        <v>96</v>
      </c>
      <c r="E111" s="159">
        <v>50000</v>
      </c>
      <c r="F111" s="159">
        <f>G111-E111</f>
        <v>7020</v>
      </c>
      <c r="G111" s="159">
        <v>57020</v>
      </c>
      <c r="H111" s="153">
        <f aca="true" t="shared" si="17" ref="H111:H167">G111/E111*100</f>
        <v>114.04</v>
      </c>
      <c r="I111" s="221">
        <f t="shared" si="16"/>
        <v>0.1871963230466185</v>
      </c>
      <c r="J111" s="6"/>
      <c r="K111" s="11"/>
      <c r="L111" s="11"/>
    </row>
    <row r="112" spans="1:12" ht="16.5" customHeight="1">
      <c r="A112" s="134" t="s">
        <v>32</v>
      </c>
      <c r="B112" s="64"/>
      <c r="C112" s="137">
        <v>412700</v>
      </c>
      <c r="D112" s="93" t="s">
        <v>421</v>
      </c>
      <c r="E112" s="157">
        <v>3000</v>
      </c>
      <c r="F112" s="159">
        <f>G112-E112</f>
        <v>0</v>
      </c>
      <c r="G112" s="157">
        <v>3000</v>
      </c>
      <c r="H112" s="153">
        <f t="shared" si="17"/>
        <v>100</v>
      </c>
      <c r="I112" s="221">
        <f t="shared" si="16"/>
        <v>0.00984898227183191</v>
      </c>
      <c r="J112" s="6"/>
      <c r="K112" s="11"/>
      <c r="L112" s="11"/>
    </row>
    <row r="113" spans="1:12" ht="12.75" customHeight="1">
      <c r="A113" s="134" t="s">
        <v>23</v>
      </c>
      <c r="B113" s="137"/>
      <c r="C113" s="71">
        <v>412900</v>
      </c>
      <c r="D113" s="93" t="s">
        <v>24</v>
      </c>
      <c r="E113" s="157">
        <v>400</v>
      </c>
      <c r="F113" s="159">
        <f>G113-E113</f>
        <v>0</v>
      </c>
      <c r="G113" s="157">
        <v>400</v>
      </c>
      <c r="H113" s="153">
        <f t="shared" si="17"/>
        <v>100</v>
      </c>
      <c r="I113" s="221">
        <f t="shared" si="16"/>
        <v>0.0013131976362442547</v>
      </c>
      <c r="J113" s="6"/>
      <c r="K113" s="11"/>
      <c r="L113" s="11"/>
    </row>
    <row r="114" spans="1:12" ht="12.75" customHeight="1" hidden="1">
      <c r="A114" s="134"/>
      <c r="B114" s="57">
        <v>414000</v>
      </c>
      <c r="C114" s="71"/>
      <c r="D114" s="148" t="s">
        <v>174</v>
      </c>
      <c r="E114" s="150">
        <f>SUM(E115:E115)</f>
        <v>0</v>
      </c>
      <c r="F114" s="150">
        <f>SUM(F115:F115)</f>
        <v>0</v>
      </c>
      <c r="G114" s="150">
        <f>SUM(G115:G115)</f>
        <v>0</v>
      </c>
      <c r="H114" s="150" t="e">
        <f t="shared" si="17"/>
        <v>#DIV/0!</v>
      </c>
      <c r="I114" s="151">
        <f t="shared" si="16"/>
        <v>0</v>
      </c>
      <c r="J114" s="6"/>
      <c r="K114" s="11"/>
      <c r="L114" s="11"/>
    </row>
    <row r="115" spans="1:12" ht="12.75" customHeight="1" hidden="1">
      <c r="A115" s="134" t="s">
        <v>401</v>
      </c>
      <c r="B115" s="137"/>
      <c r="C115" s="71">
        <v>414100</v>
      </c>
      <c r="D115" s="93" t="s">
        <v>457</v>
      </c>
      <c r="E115" s="157">
        <v>0</v>
      </c>
      <c r="F115" s="157">
        <v>0</v>
      </c>
      <c r="G115" s="157">
        <v>0</v>
      </c>
      <c r="H115" s="150" t="e">
        <f t="shared" si="17"/>
        <v>#DIV/0!</v>
      </c>
      <c r="I115" s="151">
        <f t="shared" si="16"/>
        <v>0</v>
      </c>
      <c r="J115" s="6"/>
      <c r="K115" s="11"/>
      <c r="L115" s="11"/>
    </row>
    <row r="116" spans="1:12" ht="14.25" customHeight="1">
      <c r="A116" s="134"/>
      <c r="B116" s="57">
        <v>415000</v>
      </c>
      <c r="C116" s="137"/>
      <c r="D116" s="148" t="s">
        <v>133</v>
      </c>
      <c r="E116" s="188">
        <f>SUM(E117:E151)</f>
        <v>960500</v>
      </c>
      <c r="F116" s="188">
        <f>SUM(F117:F151)</f>
        <v>139536.15</v>
      </c>
      <c r="G116" s="188">
        <f>SUM(G117:G151)</f>
        <v>1100036.15</v>
      </c>
      <c r="H116" s="150">
        <f t="shared" si="17"/>
        <v>114.52744924518478</v>
      </c>
      <c r="I116" s="151">
        <f t="shared" si="16"/>
        <v>3.611412179908076</v>
      </c>
      <c r="J116" s="6"/>
      <c r="K116" s="11"/>
      <c r="L116" s="11"/>
    </row>
    <row r="117" spans="1:12" ht="12.75" customHeight="1">
      <c r="A117" s="134" t="s">
        <v>26</v>
      </c>
      <c r="B117" s="137"/>
      <c r="C117" s="71">
        <v>415200</v>
      </c>
      <c r="D117" s="130" t="s">
        <v>201</v>
      </c>
      <c r="E117" s="201">
        <v>75000</v>
      </c>
      <c r="F117" s="201">
        <f>G117-E117</f>
        <v>0</v>
      </c>
      <c r="G117" s="201">
        <v>75000</v>
      </c>
      <c r="H117" s="153">
        <f t="shared" si="17"/>
        <v>100</v>
      </c>
      <c r="I117" s="221">
        <f t="shared" si="16"/>
        <v>0.24622455679579774</v>
      </c>
      <c r="J117" s="6"/>
      <c r="K117" s="11"/>
      <c r="L117" s="11"/>
    </row>
    <row r="118" spans="1:12" ht="12.75" customHeight="1">
      <c r="A118" s="134" t="s">
        <v>28</v>
      </c>
      <c r="B118" s="137"/>
      <c r="C118" s="71">
        <v>415200</v>
      </c>
      <c r="D118" s="93" t="s">
        <v>29</v>
      </c>
      <c r="E118" s="159">
        <v>30000</v>
      </c>
      <c r="F118" s="201">
        <f aca="true" t="shared" si="18" ref="F118:F151">G118-E118</f>
        <v>3800</v>
      </c>
      <c r="G118" s="159">
        <v>33800</v>
      </c>
      <c r="H118" s="153">
        <f t="shared" si="17"/>
        <v>112.66666666666667</v>
      </c>
      <c r="I118" s="221">
        <f t="shared" si="16"/>
        <v>0.11096520026263952</v>
      </c>
      <c r="J118" s="6"/>
      <c r="K118" s="11"/>
      <c r="L118" s="11"/>
    </row>
    <row r="119" spans="1:12" ht="12" customHeight="1">
      <c r="A119" s="134" t="s">
        <v>28</v>
      </c>
      <c r="B119" s="137"/>
      <c r="C119" s="71">
        <v>415200</v>
      </c>
      <c r="D119" s="93" t="s">
        <v>463</v>
      </c>
      <c r="E119" s="159">
        <v>0</v>
      </c>
      <c r="F119" s="201">
        <f t="shared" si="18"/>
        <v>800</v>
      </c>
      <c r="G119" s="159">
        <v>800</v>
      </c>
      <c r="H119" s="153" t="e">
        <f t="shared" si="17"/>
        <v>#DIV/0!</v>
      </c>
      <c r="I119" s="221">
        <f t="shared" si="16"/>
        <v>0.0026263952724885093</v>
      </c>
      <c r="J119" s="6"/>
      <c r="K119" s="11"/>
      <c r="L119" s="11"/>
    </row>
    <row r="120" spans="1:12" ht="12.75" customHeight="1">
      <c r="A120" s="134" t="s">
        <v>30</v>
      </c>
      <c r="B120" s="137"/>
      <c r="C120" s="71">
        <v>415200</v>
      </c>
      <c r="D120" s="98" t="s">
        <v>240</v>
      </c>
      <c r="E120" s="201">
        <v>360000</v>
      </c>
      <c r="F120" s="201">
        <f t="shared" si="18"/>
        <v>0</v>
      </c>
      <c r="G120" s="201">
        <v>360000</v>
      </c>
      <c r="H120" s="153">
        <f t="shared" si="17"/>
        <v>100</v>
      </c>
      <c r="I120" s="221">
        <f t="shared" si="16"/>
        <v>1.1818778726198294</v>
      </c>
      <c r="J120" s="6"/>
      <c r="K120" s="11"/>
      <c r="L120" s="11"/>
    </row>
    <row r="121" spans="1:12" ht="14.25" customHeight="1">
      <c r="A121" s="134" t="s">
        <v>30</v>
      </c>
      <c r="B121" s="137"/>
      <c r="C121" s="71">
        <v>415200</v>
      </c>
      <c r="D121" s="98" t="s">
        <v>464</v>
      </c>
      <c r="E121" s="159">
        <v>0</v>
      </c>
      <c r="F121" s="201">
        <f t="shared" si="18"/>
        <v>17150</v>
      </c>
      <c r="G121" s="159">
        <v>17150</v>
      </c>
      <c r="H121" s="153" t="e">
        <f t="shared" si="17"/>
        <v>#DIV/0!</v>
      </c>
      <c r="I121" s="221">
        <f t="shared" si="16"/>
        <v>0.05630334865397242</v>
      </c>
      <c r="J121" s="6"/>
      <c r="K121" s="11"/>
      <c r="L121" s="11"/>
    </row>
    <row r="122" spans="1:12" ht="15" customHeight="1">
      <c r="A122" s="134" t="s">
        <v>31</v>
      </c>
      <c r="B122" s="137"/>
      <c r="C122" s="71">
        <v>415200</v>
      </c>
      <c r="D122" s="93" t="s">
        <v>107</v>
      </c>
      <c r="E122" s="159">
        <v>23000</v>
      </c>
      <c r="F122" s="201">
        <f t="shared" si="18"/>
        <v>32500</v>
      </c>
      <c r="G122" s="159">
        <v>55500</v>
      </c>
      <c r="H122" s="153">
        <f t="shared" si="17"/>
        <v>241.30434782608697</v>
      </c>
      <c r="I122" s="221">
        <f t="shared" si="16"/>
        <v>0.18220617202889033</v>
      </c>
      <c r="J122" s="6"/>
      <c r="K122" s="11"/>
      <c r="L122" s="11"/>
    </row>
    <row r="123" spans="1:12" ht="26.25" customHeight="1">
      <c r="A123" s="134" t="s">
        <v>31</v>
      </c>
      <c r="B123" s="137"/>
      <c r="C123" s="71">
        <v>415200</v>
      </c>
      <c r="D123" s="93" t="s">
        <v>465</v>
      </c>
      <c r="E123" s="159">
        <v>0</v>
      </c>
      <c r="F123" s="201">
        <f t="shared" si="18"/>
        <v>8616.15</v>
      </c>
      <c r="G123" s="159">
        <v>8616.15</v>
      </c>
      <c r="H123" s="153" t="e">
        <f t="shared" si="17"/>
        <v>#DIV/0!</v>
      </c>
      <c r="I123" s="221">
        <f t="shared" si="16"/>
        <v>0.02828676953381484</v>
      </c>
      <c r="J123" s="6"/>
      <c r="K123" s="11"/>
      <c r="L123" s="11"/>
    </row>
    <row r="124" spans="1:12" ht="13.5" customHeight="1">
      <c r="A124" s="136" t="s">
        <v>28</v>
      </c>
      <c r="B124" s="137"/>
      <c r="C124" s="71">
        <v>415200</v>
      </c>
      <c r="D124" s="93" t="s">
        <v>343</v>
      </c>
      <c r="E124" s="159">
        <v>6000</v>
      </c>
      <c r="F124" s="201">
        <f t="shared" si="18"/>
        <v>0</v>
      </c>
      <c r="G124" s="159">
        <v>6000</v>
      </c>
      <c r="H124" s="153">
        <f t="shared" si="17"/>
        <v>100</v>
      </c>
      <c r="I124" s="221">
        <f t="shared" si="16"/>
        <v>0.01969796454366382</v>
      </c>
      <c r="J124" s="6"/>
      <c r="K124" s="11"/>
      <c r="L124" s="11"/>
    </row>
    <row r="125" spans="1:12" ht="13.5" customHeight="1">
      <c r="A125" s="136" t="s">
        <v>28</v>
      </c>
      <c r="B125" s="137"/>
      <c r="C125" s="71">
        <v>415200</v>
      </c>
      <c r="D125" s="93" t="s">
        <v>466</v>
      </c>
      <c r="E125" s="159">
        <v>0</v>
      </c>
      <c r="F125" s="201">
        <f t="shared" si="18"/>
        <v>1500</v>
      </c>
      <c r="G125" s="159">
        <v>1500</v>
      </c>
      <c r="H125" s="153" t="e">
        <f t="shared" si="17"/>
        <v>#DIV/0!</v>
      </c>
      <c r="I125" s="221">
        <f t="shared" si="16"/>
        <v>0.004924491135915955</v>
      </c>
      <c r="J125" s="6"/>
      <c r="K125" s="11"/>
      <c r="L125" s="11"/>
    </row>
    <row r="126" spans="1:12" ht="12.75">
      <c r="A126" s="136" t="s">
        <v>28</v>
      </c>
      <c r="B126" s="137"/>
      <c r="C126" s="71">
        <v>415200</v>
      </c>
      <c r="D126" s="93" t="s">
        <v>345</v>
      </c>
      <c r="E126" s="159">
        <v>9000</v>
      </c>
      <c r="F126" s="201">
        <f t="shared" si="18"/>
        <v>0</v>
      </c>
      <c r="G126" s="159">
        <v>9000</v>
      </c>
      <c r="H126" s="153">
        <f t="shared" si="17"/>
        <v>100</v>
      </c>
      <c r="I126" s="221">
        <f t="shared" si="16"/>
        <v>0.02954694681549573</v>
      </c>
      <c r="J126" s="6"/>
      <c r="K126" s="11"/>
      <c r="L126" s="11"/>
    </row>
    <row r="127" spans="1:12" ht="25.5">
      <c r="A127" s="136" t="s">
        <v>28</v>
      </c>
      <c r="B127" s="137"/>
      <c r="C127" s="71">
        <v>415200</v>
      </c>
      <c r="D127" s="93" t="s">
        <v>656</v>
      </c>
      <c r="E127" s="159">
        <v>0</v>
      </c>
      <c r="F127" s="201">
        <f t="shared" si="18"/>
        <v>3000</v>
      </c>
      <c r="G127" s="159">
        <v>3000</v>
      </c>
      <c r="H127" s="153" t="e">
        <f t="shared" si="17"/>
        <v>#DIV/0!</v>
      </c>
      <c r="I127" s="221">
        <f t="shared" si="16"/>
        <v>0.00984898227183191</v>
      </c>
      <c r="J127" s="6"/>
      <c r="K127" s="11"/>
      <c r="L127" s="11"/>
    </row>
    <row r="128" spans="1:12" ht="13.5" customHeight="1">
      <c r="A128" s="136" t="s">
        <v>346</v>
      </c>
      <c r="B128" s="137"/>
      <c r="C128" s="71">
        <v>415200</v>
      </c>
      <c r="D128" s="93" t="s">
        <v>344</v>
      </c>
      <c r="E128" s="159">
        <v>6000</v>
      </c>
      <c r="F128" s="201">
        <f t="shared" si="18"/>
        <v>0</v>
      </c>
      <c r="G128" s="159">
        <v>6000</v>
      </c>
      <c r="H128" s="153">
        <f t="shared" si="17"/>
        <v>100</v>
      </c>
      <c r="I128" s="221">
        <f t="shared" si="16"/>
        <v>0.01969796454366382</v>
      </c>
      <c r="J128" s="6"/>
      <c r="K128" s="11"/>
      <c r="L128" s="11"/>
    </row>
    <row r="129" spans="1:12" ht="12.75" customHeight="1">
      <c r="A129" s="134" t="s">
        <v>31</v>
      </c>
      <c r="B129" s="137"/>
      <c r="C129" s="71">
        <v>415200</v>
      </c>
      <c r="D129" s="93" t="s">
        <v>108</v>
      </c>
      <c r="E129" s="159">
        <v>20000</v>
      </c>
      <c r="F129" s="201">
        <f t="shared" si="18"/>
        <v>5000</v>
      </c>
      <c r="G129" s="159">
        <v>25000</v>
      </c>
      <c r="H129" s="153">
        <f t="shared" si="17"/>
        <v>125</v>
      </c>
      <c r="I129" s="221">
        <f t="shared" si="16"/>
        <v>0.08207485226526592</v>
      </c>
      <c r="J129" s="6"/>
      <c r="K129" s="11"/>
      <c r="L129" s="11"/>
    </row>
    <row r="130" spans="1:12" ht="13.5" customHeight="1">
      <c r="A130" s="134" t="s">
        <v>31</v>
      </c>
      <c r="B130" s="137"/>
      <c r="C130" s="71">
        <v>415200</v>
      </c>
      <c r="D130" s="93" t="s">
        <v>467</v>
      </c>
      <c r="E130" s="159">
        <v>0</v>
      </c>
      <c r="F130" s="201">
        <f t="shared" si="18"/>
        <v>1030</v>
      </c>
      <c r="G130" s="159">
        <v>1030</v>
      </c>
      <c r="H130" s="153" t="e">
        <f t="shared" si="17"/>
        <v>#DIV/0!</v>
      </c>
      <c r="I130" s="221">
        <f t="shared" si="16"/>
        <v>0.003381483913328956</v>
      </c>
      <c r="J130" s="6"/>
      <c r="K130" s="11"/>
      <c r="L130" s="11"/>
    </row>
    <row r="131" spans="1:12" ht="25.5">
      <c r="A131" s="134" t="s">
        <v>31</v>
      </c>
      <c r="B131" s="137"/>
      <c r="C131" s="71">
        <v>415200</v>
      </c>
      <c r="D131" s="93" t="s">
        <v>275</v>
      </c>
      <c r="E131" s="159">
        <v>5000</v>
      </c>
      <c r="F131" s="201">
        <f t="shared" si="18"/>
        <v>0</v>
      </c>
      <c r="G131" s="159">
        <v>5000</v>
      </c>
      <c r="H131" s="153">
        <f t="shared" si="17"/>
        <v>100</v>
      </c>
      <c r="I131" s="221">
        <f t="shared" si="16"/>
        <v>0.016414970453053183</v>
      </c>
      <c r="J131" s="6"/>
      <c r="K131" s="11"/>
      <c r="L131" s="11"/>
    </row>
    <row r="132" spans="1:12" ht="26.25" customHeight="1">
      <c r="A132" s="134" t="s">
        <v>31</v>
      </c>
      <c r="B132" s="137"/>
      <c r="C132" s="71">
        <v>415200</v>
      </c>
      <c r="D132" s="93" t="s">
        <v>655</v>
      </c>
      <c r="E132" s="159">
        <v>0</v>
      </c>
      <c r="F132" s="201">
        <f t="shared" si="18"/>
        <v>2500</v>
      </c>
      <c r="G132" s="159">
        <v>2500</v>
      </c>
      <c r="H132" s="153" t="e">
        <f t="shared" si="17"/>
        <v>#DIV/0!</v>
      </c>
      <c r="I132" s="221">
        <f t="shared" si="16"/>
        <v>0.008207485226526591</v>
      </c>
      <c r="J132" s="6"/>
      <c r="K132" s="11"/>
      <c r="L132" s="11"/>
    </row>
    <row r="133" spans="1:12" ht="13.5" customHeight="1">
      <c r="A133" s="134" t="s">
        <v>28</v>
      </c>
      <c r="B133" s="137"/>
      <c r="C133" s="71">
        <v>415200</v>
      </c>
      <c r="D133" s="93" t="s">
        <v>430</v>
      </c>
      <c r="E133" s="159">
        <v>1500</v>
      </c>
      <c r="F133" s="201">
        <f t="shared" si="18"/>
        <v>0</v>
      </c>
      <c r="G133" s="159">
        <v>1500</v>
      </c>
      <c r="H133" s="153">
        <f t="shared" si="17"/>
        <v>100</v>
      </c>
      <c r="I133" s="221">
        <f t="shared" si="16"/>
        <v>0.004924491135915955</v>
      </c>
      <c r="J133" s="6"/>
      <c r="K133" s="11"/>
      <c r="L133" s="11"/>
    </row>
    <row r="134" spans="1:12" ht="12.75" customHeight="1">
      <c r="A134" s="134" t="s">
        <v>31</v>
      </c>
      <c r="B134" s="137"/>
      <c r="C134" s="71">
        <v>415200</v>
      </c>
      <c r="D134" s="93" t="s">
        <v>92</v>
      </c>
      <c r="E134" s="159">
        <v>30000</v>
      </c>
      <c r="F134" s="201">
        <f t="shared" si="18"/>
        <v>0</v>
      </c>
      <c r="G134" s="159">
        <v>30000</v>
      </c>
      <c r="H134" s="153">
        <f t="shared" si="17"/>
        <v>100</v>
      </c>
      <c r="I134" s="221">
        <f t="shared" si="16"/>
        <v>0.0984898227183191</v>
      </c>
      <c r="J134" s="6"/>
      <c r="K134" s="11"/>
      <c r="L134" s="11"/>
    </row>
    <row r="135" spans="1:12" ht="15.75" customHeight="1" hidden="1">
      <c r="A135" s="134" t="s">
        <v>31</v>
      </c>
      <c r="B135" s="137"/>
      <c r="C135" s="71">
        <v>415200</v>
      </c>
      <c r="D135" s="93" t="s">
        <v>468</v>
      </c>
      <c r="E135" s="159"/>
      <c r="F135" s="201">
        <f t="shared" si="18"/>
        <v>0</v>
      </c>
      <c r="G135" s="159"/>
      <c r="H135" s="150" t="e">
        <f t="shared" si="17"/>
        <v>#DIV/0!</v>
      </c>
      <c r="I135" s="151">
        <f t="shared" si="16"/>
        <v>0</v>
      </c>
      <c r="J135" s="6"/>
      <c r="K135" s="11"/>
      <c r="L135" s="11"/>
    </row>
    <row r="136" spans="1:12" ht="27" customHeight="1">
      <c r="A136" s="134" t="s">
        <v>42</v>
      </c>
      <c r="B136" s="57"/>
      <c r="C136" s="71">
        <v>415200</v>
      </c>
      <c r="D136" s="80" t="s">
        <v>188</v>
      </c>
      <c r="E136" s="201">
        <v>150000</v>
      </c>
      <c r="F136" s="201">
        <f t="shared" si="18"/>
        <v>0</v>
      </c>
      <c r="G136" s="201">
        <v>150000</v>
      </c>
      <c r="H136" s="153">
        <f t="shared" si="17"/>
        <v>100</v>
      </c>
      <c r="I136" s="221">
        <f t="shared" si="16"/>
        <v>0.4924491135915955</v>
      </c>
      <c r="J136" s="6"/>
      <c r="K136" s="11"/>
      <c r="L136" s="11"/>
    </row>
    <row r="137" spans="1:12" ht="26.25" customHeight="1">
      <c r="A137" s="134" t="s">
        <v>42</v>
      </c>
      <c r="B137" s="57"/>
      <c r="C137" s="71">
        <v>415200</v>
      </c>
      <c r="D137" s="98" t="s">
        <v>469</v>
      </c>
      <c r="E137" s="159">
        <v>0</v>
      </c>
      <c r="F137" s="201">
        <f t="shared" si="18"/>
        <v>7150</v>
      </c>
      <c r="G137" s="159">
        <v>7150</v>
      </c>
      <c r="H137" s="153" t="e">
        <f t="shared" si="17"/>
        <v>#DIV/0!</v>
      </c>
      <c r="I137" s="221">
        <f t="shared" si="16"/>
        <v>0.023473407747866055</v>
      </c>
      <c r="J137" s="6"/>
      <c r="K137" s="11"/>
      <c r="L137" s="11"/>
    </row>
    <row r="138" spans="1:12" ht="12.75">
      <c r="A138" s="136" t="s">
        <v>412</v>
      </c>
      <c r="B138" s="208"/>
      <c r="C138" s="211">
        <v>415200</v>
      </c>
      <c r="D138" s="98" t="s">
        <v>613</v>
      </c>
      <c r="E138" s="159">
        <v>20000</v>
      </c>
      <c r="F138" s="201">
        <f t="shared" si="18"/>
        <v>0</v>
      </c>
      <c r="G138" s="159">
        <v>20000</v>
      </c>
      <c r="H138" s="153">
        <f t="shared" si="17"/>
        <v>100</v>
      </c>
      <c r="I138" s="221">
        <f t="shared" si="16"/>
        <v>0.06565988181221273</v>
      </c>
      <c r="J138" s="6"/>
      <c r="K138" s="11"/>
      <c r="L138" s="11"/>
    </row>
    <row r="139" spans="1:12" ht="23.25" customHeight="1">
      <c r="A139" s="136" t="s">
        <v>28</v>
      </c>
      <c r="B139" s="208"/>
      <c r="C139" s="102">
        <v>415200</v>
      </c>
      <c r="D139" s="98" t="s">
        <v>210</v>
      </c>
      <c r="E139" s="159">
        <v>60000</v>
      </c>
      <c r="F139" s="201">
        <f t="shared" si="18"/>
        <v>0</v>
      </c>
      <c r="G139" s="159">
        <v>60000</v>
      </c>
      <c r="H139" s="153">
        <f t="shared" si="17"/>
        <v>100</v>
      </c>
      <c r="I139" s="221">
        <f t="shared" si="16"/>
        <v>0.1969796454366382</v>
      </c>
      <c r="J139" s="6"/>
      <c r="K139" s="11"/>
      <c r="L139" s="11"/>
    </row>
    <row r="140" spans="1:12" ht="0.75" customHeight="1" hidden="1">
      <c r="A140" s="136" t="s">
        <v>28</v>
      </c>
      <c r="B140" s="208"/>
      <c r="C140" s="102">
        <v>415200</v>
      </c>
      <c r="D140" s="98" t="s">
        <v>470</v>
      </c>
      <c r="E140" s="159"/>
      <c r="F140" s="201">
        <f t="shared" si="18"/>
        <v>0</v>
      </c>
      <c r="G140" s="159"/>
      <c r="H140" s="153" t="e">
        <f t="shared" si="17"/>
        <v>#DIV/0!</v>
      </c>
      <c r="I140" s="221">
        <f t="shared" si="16"/>
        <v>0</v>
      </c>
      <c r="J140" s="6"/>
      <c r="K140" s="11"/>
      <c r="L140" s="11"/>
    </row>
    <row r="141" spans="1:12" ht="12.75" customHeight="1">
      <c r="A141" s="134" t="s">
        <v>33</v>
      </c>
      <c r="B141" s="137"/>
      <c r="C141" s="71">
        <v>415200</v>
      </c>
      <c r="D141" s="93" t="s">
        <v>91</v>
      </c>
      <c r="E141" s="159">
        <v>75000</v>
      </c>
      <c r="F141" s="201">
        <f t="shared" si="18"/>
        <v>0</v>
      </c>
      <c r="G141" s="159">
        <v>75000</v>
      </c>
      <c r="H141" s="153">
        <f t="shared" si="17"/>
        <v>100</v>
      </c>
      <c r="I141" s="221">
        <f t="shared" si="16"/>
        <v>0.24622455679579774</v>
      </c>
      <c r="J141" s="6"/>
      <c r="K141" s="11"/>
      <c r="L141" s="11"/>
    </row>
    <row r="142" spans="1:12" ht="16.5" customHeight="1" hidden="1">
      <c r="A142" s="134" t="s">
        <v>33</v>
      </c>
      <c r="B142" s="137"/>
      <c r="C142" s="71">
        <v>415200</v>
      </c>
      <c r="D142" s="93" t="s">
        <v>471</v>
      </c>
      <c r="E142" s="159"/>
      <c r="F142" s="201">
        <f t="shared" si="18"/>
        <v>0</v>
      </c>
      <c r="G142" s="159"/>
      <c r="H142" s="153" t="e">
        <f t="shared" si="17"/>
        <v>#DIV/0!</v>
      </c>
      <c r="I142" s="221">
        <f aca="true" t="shared" si="19" ref="I142:I167">G142/$G$604*100</f>
        <v>0</v>
      </c>
      <c r="J142" s="6"/>
      <c r="K142" s="11"/>
      <c r="L142" s="11"/>
    </row>
    <row r="143" spans="1:12" ht="28.5" customHeight="1">
      <c r="A143" s="255" t="s">
        <v>570</v>
      </c>
      <c r="B143" s="137"/>
      <c r="C143" s="211">
        <v>415200</v>
      </c>
      <c r="D143" s="93" t="s">
        <v>569</v>
      </c>
      <c r="E143" s="159">
        <v>10000</v>
      </c>
      <c r="F143" s="201">
        <f t="shared" si="18"/>
        <v>0</v>
      </c>
      <c r="G143" s="159">
        <v>10000</v>
      </c>
      <c r="H143" s="153">
        <f t="shared" si="17"/>
        <v>100</v>
      </c>
      <c r="I143" s="221">
        <f t="shared" si="19"/>
        <v>0.032829940906106365</v>
      </c>
      <c r="J143" s="6"/>
      <c r="K143" s="11"/>
      <c r="L143" s="11"/>
    </row>
    <row r="144" spans="1:12" ht="25.5">
      <c r="A144" s="134" t="s">
        <v>161</v>
      </c>
      <c r="B144" s="135"/>
      <c r="C144" s="71">
        <v>415200</v>
      </c>
      <c r="D144" s="130" t="s">
        <v>614</v>
      </c>
      <c r="E144" s="159">
        <v>20000</v>
      </c>
      <c r="F144" s="201">
        <f t="shared" si="18"/>
        <v>27610</v>
      </c>
      <c r="G144" s="159">
        <v>47610</v>
      </c>
      <c r="H144" s="153">
        <f t="shared" si="17"/>
        <v>238.05</v>
      </c>
      <c r="I144" s="221">
        <f t="shared" si="19"/>
        <v>0.1563033486539724</v>
      </c>
      <c r="J144" s="6"/>
      <c r="K144" s="11"/>
      <c r="L144" s="11"/>
    </row>
    <row r="145" spans="1:12" ht="12.75">
      <c r="A145" s="134" t="s">
        <v>162</v>
      </c>
      <c r="B145" s="135"/>
      <c r="C145" s="71">
        <v>415200</v>
      </c>
      <c r="D145" s="130" t="s">
        <v>437</v>
      </c>
      <c r="E145" s="201">
        <v>10000</v>
      </c>
      <c r="F145" s="201">
        <f t="shared" si="18"/>
        <v>566</v>
      </c>
      <c r="G145" s="201">
        <v>10566</v>
      </c>
      <c r="H145" s="153">
        <f t="shared" si="17"/>
        <v>105.66</v>
      </c>
      <c r="I145" s="221">
        <f t="shared" si="19"/>
        <v>0.034688115561391994</v>
      </c>
      <c r="J145" s="6"/>
      <c r="K145" s="11"/>
      <c r="L145" s="11"/>
    </row>
    <row r="146" spans="1:12" ht="12.75">
      <c r="A146" s="134" t="s">
        <v>162</v>
      </c>
      <c r="B146" s="135"/>
      <c r="C146" s="71">
        <v>415200</v>
      </c>
      <c r="D146" s="130" t="s">
        <v>632</v>
      </c>
      <c r="E146" s="201">
        <v>30000</v>
      </c>
      <c r="F146" s="201">
        <f t="shared" si="18"/>
        <v>0</v>
      </c>
      <c r="G146" s="201">
        <v>30000</v>
      </c>
      <c r="H146" s="153">
        <f t="shared" si="17"/>
        <v>100</v>
      </c>
      <c r="I146" s="221">
        <f t="shared" si="19"/>
        <v>0.0984898227183191</v>
      </c>
      <c r="J146" s="6"/>
      <c r="K146" s="11"/>
      <c r="L146" s="11"/>
    </row>
    <row r="147" spans="1:12" ht="15" customHeight="1">
      <c r="A147" s="134" t="s">
        <v>162</v>
      </c>
      <c r="B147" s="135"/>
      <c r="C147" s="71">
        <v>415200</v>
      </c>
      <c r="D147" s="130" t="s">
        <v>485</v>
      </c>
      <c r="E147" s="159">
        <v>10000</v>
      </c>
      <c r="F147" s="201">
        <f t="shared" si="18"/>
        <v>-566</v>
      </c>
      <c r="G147" s="159">
        <v>9434</v>
      </c>
      <c r="H147" s="153">
        <f t="shared" si="17"/>
        <v>94.34</v>
      </c>
      <c r="I147" s="221">
        <f t="shared" si="19"/>
        <v>0.030971766250820747</v>
      </c>
      <c r="J147" s="6"/>
      <c r="K147" s="11"/>
      <c r="L147" s="11"/>
    </row>
    <row r="148" spans="1:12" ht="15" customHeight="1">
      <c r="A148" s="134" t="s">
        <v>492</v>
      </c>
      <c r="B148" s="135"/>
      <c r="C148" s="71">
        <v>415200</v>
      </c>
      <c r="D148" s="98" t="s">
        <v>491</v>
      </c>
      <c r="E148" s="159">
        <v>10000</v>
      </c>
      <c r="F148" s="201">
        <f t="shared" si="18"/>
        <v>0</v>
      </c>
      <c r="G148" s="159">
        <v>10000</v>
      </c>
      <c r="H148" s="153">
        <f t="shared" si="17"/>
        <v>100</v>
      </c>
      <c r="I148" s="221">
        <f t="shared" si="19"/>
        <v>0.032829940906106365</v>
      </c>
      <c r="J148" s="6"/>
      <c r="K148" s="11"/>
      <c r="L148" s="11"/>
    </row>
    <row r="149" spans="1:12" ht="24.75" customHeight="1">
      <c r="A149" s="134" t="s">
        <v>160</v>
      </c>
      <c r="B149" s="135"/>
      <c r="C149" s="71">
        <v>415200</v>
      </c>
      <c r="D149" s="98" t="s">
        <v>663</v>
      </c>
      <c r="E149" s="159">
        <v>0</v>
      </c>
      <c r="F149" s="201">
        <f t="shared" si="18"/>
        <v>26880</v>
      </c>
      <c r="G149" s="159">
        <v>26880</v>
      </c>
      <c r="H149" s="153" t="e">
        <f t="shared" si="17"/>
        <v>#DIV/0!</v>
      </c>
      <c r="I149" s="221">
        <f t="shared" si="19"/>
        <v>0.08824688115561392</v>
      </c>
      <c r="J149" s="6"/>
      <c r="K149" s="11"/>
      <c r="L149" s="11"/>
    </row>
    <row r="150" spans="1:12" ht="29.25" customHeight="1">
      <c r="A150" s="134" t="s">
        <v>32</v>
      </c>
      <c r="B150" s="135"/>
      <c r="C150" s="71">
        <v>415200</v>
      </c>
      <c r="D150" s="98" t="s">
        <v>657</v>
      </c>
      <c r="E150" s="159">
        <v>0</v>
      </c>
      <c r="F150" s="201">
        <f t="shared" si="18"/>
        <v>1000</v>
      </c>
      <c r="G150" s="159">
        <v>1000</v>
      </c>
      <c r="H150" s="153" t="e">
        <f t="shared" si="17"/>
        <v>#DIV/0!</v>
      </c>
      <c r="I150" s="221">
        <f t="shared" si="19"/>
        <v>0.003282994090610637</v>
      </c>
      <c r="J150" s="6"/>
      <c r="K150" s="11"/>
      <c r="L150" s="11"/>
    </row>
    <row r="151" spans="1:12" ht="26.25" customHeight="1">
      <c r="A151" s="134" t="s">
        <v>150</v>
      </c>
      <c r="B151" s="135"/>
      <c r="C151" s="71">
        <v>415200</v>
      </c>
      <c r="D151" s="98" t="s">
        <v>658</v>
      </c>
      <c r="E151" s="159">
        <v>0</v>
      </c>
      <c r="F151" s="201">
        <f t="shared" si="18"/>
        <v>1000</v>
      </c>
      <c r="G151" s="159">
        <v>1000</v>
      </c>
      <c r="H151" s="153" t="e">
        <f t="shared" si="17"/>
        <v>#DIV/0!</v>
      </c>
      <c r="I151" s="221">
        <f t="shared" si="19"/>
        <v>0.003282994090610637</v>
      </c>
      <c r="J151" s="6"/>
      <c r="K151" s="11"/>
      <c r="L151" s="11"/>
    </row>
    <row r="152" spans="1:12" ht="14.25" customHeight="1">
      <c r="A152" s="134"/>
      <c r="B152" s="57">
        <v>416000</v>
      </c>
      <c r="C152" s="64"/>
      <c r="D152" s="148" t="s">
        <v>1</v>
      </c>
      <c r="E152" s="188">
        <f>SUM(E153:E162)</f>
        <v>683500</v>
      </c>
      <c r="F152" s="188">
        <f>SUM(F153:F162)</f>
        <v>54300</v>
      </c>
      <c r="G152" s="188">
        <f>SUM(G153:G162)</f>
        <v>737800</v>
      </c>
      <c r="H152" s="150">
        <f t="shared" si="17"/>
        <v>107.94440380395025</v>
      </c>
      <c r="I152" s="151">
        <f t="shared" si="19"/>
        <v>2.422193040052528</v>
      </c>
      <c r="J152" s="6"/>
      <c r="K152" s="11"/>
      <c r="L152" s="11"/>
    </row>
    <row r="153" spans="1:12" ht="12.75" customHeight="1">
      <c r="A153" s="136" t="s">
        <v>150</v>
      </c>
      <c r="B153" s="137"/>
      <c r="C153" s="71">
        <v>416100</v>
      </c>
      <c r="D153" s="93" t="s">
        <v>177</v>
      </c>
      <c r="E153" s="159">
        <v>270000</v>
      </c>
      <c r="F153" s="159">
        <f>G153-E153</f>
        <v>-50200</v>
      </c>
      <c r="G153" s="159">
        <v>219800</v>
      </c>
      <c r="H153" s="153">
        <f t="shared" si="17"/>
        <v>81.4074074074074</v>
      </c>
      <c r="I153" s="221">
        <f t="shared" si="19"/>
        <v>0.721602101116218</v>
      </c>
      <c r="J153" s="6"/>
      <c r="K153" s="11"/>
      <c r="L153" s="11"/>
    </row>
    <row r="154" spans="1:12" ht="12.75" customHeight="1">
      <c r="A154" s="136" t="s">
        <v>150</v>
      </c>
      <c r="B154" s="137"/>
      <c r="C154" s="71">
        <v>416100</v>
      </c>
      <c r="D154" s="93" t="s">
        <v>402</v>
      </c>
      <c r="E154" s="159">
        <v>15000</v>
      </c>
      <c r="F154" s="159">
        <f aca="true" t="shared" si="20" ref="F154:F162">G154-E154</f>
        <v>10000</v>
      </c>
      <c r="G154" s="159">
        <v>25000</v>
      </c>
      <c r="H154" s="153">
        <f t="shared" si="17"/>
        <v>166.66666666666669</v>
      </c>
      <c r="I154" s="221">
        <f t="shared" si="19"/>
        <v>0.08207485226526592</v>
      </c>
      <c r="J154" s="6"/>
      <c r="K154" s="11"/>
      <c r="L154" s="11"/>
    </row>
    <row r="155" spans="1:12" ht="12.75" customHeight="1">
      <c r="A155" s="136" t="s">
        <v>150</v>
      </c>
      <c r="B155" s="137"/>
      <c r="C155" s="71">
        <v>416100</v>
      </c>
      <c r="D155" s="93" t="s">
        <v>438</v>
      </c>
      <c r="E155" s="159">
        <v>7000</v>
      </c>
      <c r="F155" s="159">
        <f t="shared" si="20"/>
        <v>-7000</v>
      </c>
      <c r="G155" s="159">
        <v>0</v>
      </c>
      <c r="H155" s="153">
        <f t="shared" si="17"/>
        <v>0</v>
      </c>
      <c r="I155" s="221">
        <f t="shared" si="19"/>
        <v>0</v>
      </c>
      <c r="J155" s="6"/>
      <c r="K155" s="11"/>
      <c r="L155" s="11"/>
    </row>
    <row r="156" spans="1:12" ht="12.75" customHeight="1">
      <c r="A156" s="136" t="s">
        <v>28</v>
      </c>
      <c r="B156" s="212"/>
      <c r="C156" s="211">
        <v>416100</v>
      </c>
      <c r="D156" s="130" t="s">
        <v>97</v>
      </c>
      <c r="E156" s="159">
        <v>30000</v>
      </c>
      <c r="F156" s="159">
        <f t="shared" si="20"/>
        <v>43000</v>
      </c>
      <c r="G156" s="159">
        <v>73000</v>
      </c>
      <c r="H156" s="153">
        <f t="shared" si="17"/>
        <v>243.33333333333331</v>
      </c>
      <c r="I156" s="221">
        <f t="shared" si="19"/>
        <v>0.2396585686145765</v>
      </c>
      <c r="J156" s="6"/>
      <c r="K156" s="11"/>
      <c r="L156" s="11"/>
    </row>
    <row r="157" spans="1:12" ht="13.5" customHeight="1">
      <c r="A157" s="136" t="s">
        <v>686</v>
      </c>
      <c r="B157" s="212"/>
      <c r="C157" s="71">
        <v>416100</v>
      </c>
      <c r="D157" s="130" t="s">
        <v>685</v>
      </c>
      <c r="E157" s="159">
        <v>0</v>
      </c>
      <c r="F157" s="159">
        <f t="shared" si="20"/>
        <v>10000</v>
      </c>
      <c r="G157" s="159">
        <v>10000</v>
      </c>
      <c r="H157" s="153" t="e">
        <f t="shared" si="17"/>
        <v>#DIV/0!</v>
      </c>
      <c r="I157" s="221">
        <f t="shared" si="19"/>
        <v>0.032829940906106365</v>
      </c>
      <c r="J157" s="6"/>
      <c r="K157" s="11"/>
      <c r="L157" s="11"/>
    </row>
    <row r="158" spans="1:12" ht="25.5" customHeight="1">
      <c r="A158" s="136" t="s">
        <v>28</v>
      </c>
      <c r="B158" s="212"/>
      <c r="C158" s="71">
        <v>416100</v>
      </c>
      <c r="D158" s="130" t="s">
        <v>409</v>
      </c>
      <c r="E158" s="159">
        <v>1500</v>
      </c>
      <c r="F158" s="159">
        <f t="shared" si="20"/>
        <v>13500</v>
      </c>
      <c r="G158" s="159">
        <v>15000</v>
      </c>
      <c r="H158" s="153">
        <f t="shared" si="17"/>
        <v>1000</v>
      </c>
      <c r="I158" s="221">
        <f t="shared" si="19"/>
        <v>0.04924491135915955</v>
      </c>
      <c r="J158" s="6"/>
      <c r="K158" s="11"/>
      <c r="L158" s="11"/>
    </row>
    <row r="159" spans="1:12" s="394" customFormat="1" ht="12.75">
      <c r="A159" s="255" t="s">
        <v>160</v>
      </c>
      <c r="B159" s="392"/>
      <c r="C159" s="211">
        <v>416100</v>
      </c>
      <c r="D159" s="130" t="s">
        <v>612</v>
      </c>
      <c r="E159" s="153">
        <v>130000</v>
      </c>
      <c r="F159" s="159">
        <f t="shared" si="20"/>
        <v>0</v>
      </c>
      <c r="G159" s="153">
        <v>130000</v>
      </c>
      <c r="H159" s="153">
        <f t="shared" si="17"/>
        <v>100</v>
      </c>
      <c r="I159" s="221">
        <f t="shared" si="19"/>
        <v>0.4267892317793828</v>
      </c>
      <c r="J159" s="393"/>
      <c r="K159" s="12"/>
      <c r="L159" s="11"/>
    </row>
    <row r="160" spans="1:12" ht="15.75" customHeight="1">
      <c r="A160" s="136" t="s">
        <v>160</v>
      </c>
      <c r="B160" s="212"/>
      <c r="C160" s="71">
        <v>416100</v>
      </c>
      <c r="D160" s="130" t="s">
        <v>244</v>
      </c>
      <c r="E160" s="157">
        <v>15000</v>
      </c>
      <c r="F160" s="159">
        <f t="shared" si="20"/>
        <v>0</v>
      </c>
      <c r="G160" s="157">
        <v>15000</v>
      </c>
      <c r="H160" s="153">
        <f t="shared" si="17"/>
        <v>100</v>
      </c>
      <c r="I160" s="221">
        <f t="shared" si="19"/>
        <v>0.04924491135915955</v>
      </c>
      <c r="J160" s="6"/>
      <c r="K160" s="11"/>
      <c r="L160" s="11"/>
    </row>
    <row r="161" spans="1:12" ht="15.75" customHeight="1">
      <c r="A161" s="213" t="s">
        <v>160</v>
      </c>
      <c r="B161" s="212"/>
      <c r="C161" s="71">
        <v>416100</v>
      </c>
      <c r="D161" s="98" t="s">
        <v>493</v>
      </c>
      <c r="E161" s="157">
        <v>15000</v>
      </c>
      <c r="F161" s="159">
        <f t="shared" si="20"/>
        <v>-15000</v>
      </c>
      <c r="G161" s="157">
        <v>0</v>
      </c>
      <c r="H161" s="153">
        <f t="shared" si="17"/>
        <v>0</v>
      </c>
      <c r="I161" s="221">
        <f t="shared" si="19"/>
        <v>0</v>
      </c>
      <c r="J161" s="6"/>
      <c r="K161" s="11"/>
      <c r="L161" s="11"/>
    </row>
    <row r="162" spans="1:12" ht="15.75" customHeight="1">
      <c r="A162" s="213" t="s">
        <v>26</v>
      </c>
      <c r="B162" s="212"/>
      <c r="C162" s="71">
        <v>416100</v>
      </c>
      <c r="D162" s="130" t="s">
        <v>630</v>
      </c>
      <c r="E162" s="157">
        <v>200000</v>
      </c>
      <c r="F162" s="159">
        <f t="shared" si="20"/>
        <v>50000</v>
      </c>
      <c r="G162" s="157">
        <v>250000</v>
      </c>
      <c r="H162" s="153">
        <f t="shared" si="17"/>
        <v>125</v>
      </c>
      <c r="I162" s="221">
        <f t="shared" si="19"/>
        <v>0.8207485226526593</v>
      </c>
      <c r="J162" s="6"/>
      <c r="K162" s="11"/>
      <c r="L162" s="11"/>
    </row>
    <row r="163" spans="1:12" ht="15" customHeight="1">
      <c r="A163" s="213"/>
      <c r="B163" s="57">
        <v>487000</v>
      </c>
      <c r="C163" s="71"/>
      <c r="D163" s="214" t="s">
        <v>341</v>
      </c>
      <c r="E163" s="154">
        <f>SUM(E164:E166)</f>
        <v>18000</v>
      </c>
      <c r="F163" s="154">
        <f>SUM(F164:F166)</f>
        <v>0</v>
      </c>
      <c r="G163" s="154">
        <f>SUM(G164:G166)</f>
        <v>18000</v>
      </c>
      <c r="H163" s="150">
        <f t="shared" si="17"/>
        <v>100</v>
      </c>
      <c r="I163" s="151">
        <f t="shared" si="19"/>
        <v>0.05909389363099146</v>
      </c>
      <c r="J163" s="6"/>
      <c r="K163" s="11"/>
      <c r="L163" s="11"/>
    </row>
    <row r="164" spans="1:12" ht="12" customHeight="1">
      <c r="A164" s="213" t="s">
        <v>26</v>
      </c>
      <c r="B164" s="57"/>
      <c r="C164" s="71">
        <v>487900</v>
      </c>
      <c r="D164" s="93" t="s">
        <v>146</v>
      </c>
      <c r="E164" s="159">
        <v>8000</v>
      </c>
      <c r="F164" s="159">
        <f>G164-E164</f>
        <v>0</v>
      </c>
      <c r="G164" s="159">
        <v>8000</v>
      </c>
      <c r="H164" s="153">
        <f t="shared" si="17"/>
        <v>100</v>
      </c>
      <c r="I164" s="221">
        <f t="shared" si="19"/>
        <v>0.026263952724885097</v>
      </c>
      <c r="J164" s="6"/>
      <c r="K164" s="11"/>
      <c r="L164" s="11"/>
    </row>
    <row r="165" spans="1:12" ht="13.5" customHeight="1" hidden="1">
      <c r="A165" s="136" t="s">
        <v>26</v>
      </c>
      <c r="B165" s="212"/>
      <c r="C165" s="71">
        <v>487900</v>
      </c>
      <c r="D165" s="93" t="s">
        <v>472</v>
      </c>
      <c r="E165" s="159"/>
      <c r="F165" s="159">
        <f>G165-E165</f>
        <v>0</v>
      </c>
      <c r="G165" s="159"/>
      <c r="H165" s="153" t="e">
        <f t="shared" si="17"/>
        <v>#DIV/0!</v>
      </c>
      <c r="I165" s="221">
        <f t="shared" si="19"/>
        <v>0</v>
      </c>
      <c r="J165" s="6"/>
      <c r="K165" s="11"/>
      <c r="L165" s="11"/>
    </row>
    <row r="166" spans="1:12" ht="12.75" customHeight="1">
      <c r="A166" s="134" t="s">
        <v>26</v>
      </c>
      <c r="B166" s="137"/>
      <c r="C166" s="71">
        <v>487900</v>
      </c>
      <c r="D166" s="93" t="s">
        <v>274</v>
      </c>
      <c r="E166" s="159">
        <v>10000</v>
      </c>
      <c r="F166" s="159">
        <f>G166-E166</f>
        <v>0</v>
      </c>
      <c r="G166" s="159">
        <v>10000</v>
      </c>
      <c r="H166" s="153">
        <f t="shared" si="17"/>
        <v>100</v>
      </c>
      <c r="I166" s="221">
        <f t="shared" si="19"/>
        <v>0.032829940906106365</v>
      </c>
      <c r="J166" s="6"/>
      <c r="K166" s="11"/>
      <c r="L166" s="11"/>
    </row>
    <row r="167" spans="1:12" ht="24" customHeight="1">
      <c r="A167" s="515"/>
      <c r="B167" s="516"/>
      <c r="C167" s="507" t="s">
        <v>207</v>
      </c>
      <c r="D167" s="514"/>
      <c r="E167" s="172">
        <f>E110+E114+E116+E152+E163</f>
        <v>1715400</v>
      </c>
      <c r="F167" s="172">
        <f>F110+F114+F116+F152+F163</f>
        <v>200856.15</v>
      </c>
      <c r="G167" s="172">
        <f>G110+G114+G116+G152+G163</f>
        <v>1916256.15</v>
      </c>
      <c r="H167" s="390">
        <f t="shared" si="17"/>
        <v>111.7089979013641</v>
      </c>
      <c r="I167" s="440">
        <f t="shared" si="19"/>
        <v>6.29105761654629</v>
      </c>
      <c r="J167" s="6"/>
      <c r="K167" s="11"/>
      <c r="L167" s="11"/>
    </row>
    <row r="168" spans="1:12" ht="9.75" customHeight="1">
      <c r="A168" s="515"/>
      <c r="B168" s="516"/>
      <c r="C168" s="521" t="s">
        <v>585</v>
      </c>
      <c r="D168" s="526"/>
      <c r="E168" s="202"/>
      <c r="F168" s="202"/>
      <c r="G168" s="202"/>
      <c r="H168" s="202"/>
      <c r="I168" s="203"/>
      <c r="J168" s="6"/>
      <c r="K168" s="11"/>
      <c r="L168" s="11"/>
    </row>
    <row r="169" spans="1:12" ht="9.75" customHeight="1">
      <c r="A169" s="515"/>
      <c r="B169" s="516"/>
      <c r="C169" s="521"/>
      <c r="D169" s="526"/>
      <c r="E169" s="204"/>
      <c r="F169" s="204"/>
      <c r="G169" s="204"/>
      <c r="H169" s="204"/>
      <c r="I169" s="205"/>
      <c r="J169" s="6"/>
      <c r="K169" s="11"/>
      <c r="L169" s="11"/>
    </row>
    <row r="170" spans="1:12" ht="21.75" customHeight="1">
      <c r="A170" s="515"/>
      <c r="B170" s="516"/>
      <c r="C170" s="521"/>
      <c r="D170" s="526"/>
      <c r="E170" s="206"/>
      <c r="F170" s="206"/>
      <c r="G170" s="206"/>
      <c r="H170" s="206"/>
      <c r="I170" s="207"/>
      <c r="J170" s="6"/>
      <c r="K170" s="11"/>
      <c r="L170" s="11"/>
    </row>
    <row r="171" spans="1:12" ht="14.25" customHeight="1">
      <c r="A171" s="134"/>
      <c r="B171" s="57">
        <v>412000</v>
      </c>
      <c r="C171" s="64"/>
      <c r="D171" s="148" t="s">
        <v>119</v>
      </c>
      <c r="E171" s="150">
        <f>SUM(E172:E175)</f>
        <v>54900</v>
      </c>
      <c r="F171" s="150">
        <f>SUM(F172:F175)</f>
        <v>0</v>
      </c>
      <c r="G171" s="150">
        <f>SUM(G172:G175)</f>
        <v>54900</v>
      </c>
      <c r="H171" s="150">
        <f>G171/E171*100</f>
        <v>100</v>
      </c>
      <c r="I171" s="151">
        <f aca="true" t="shared" si="21" ref="I171:I180">G171/$G$604*100</f>
        <v>0.18023637557452396</v>
      </c>
      <c r="J171" s="6"/>
      <c r="K171" s="11"/>
      <c r="L171" s="11"/>
    </row>
    <row r="172" spans="1:12" ht="24.75" customHeight="1">
      <c r="A172" s="134" t="s">
        <v>34</v>
      </c>
      <c r="B172" s="57"/>
      <c r="C172" s="71">
        <v>412700</v>
      </c>
      <c r="D172" s="93" t="s">
        <v>167</v>
      </c>
      <c r="E172" s="157">
        <v>12500</v>
      </c>
      <c r="F172" s="157">
        <f>G172-E172</f>
        <v>0</v>
      </c>
      <c r="G172" s="157">
        <v>12500</v>
      </c>
      <c r="H172" s="153">
        <f aca="true" t="shared" si="22" ref="H172:H180">G172/E172*100</f>
        <v>100</v>
      </c>
      <c r="I172" s="221">
        <f t="shared" si="21"/>
        <v>0.04103742613263296</v>
      </c>
      <c r="J172" s="6"/>
      <c r="K172" s="11"/>
      <c r="L172" s="11"/>
    </row>
    <row r="173" spans="1:12" ht="25.5" customHeight="1">
      <c r="A173" s="134" t="s">
        <v>34</v>
      </c>
      <c r="B173" s="57"/>
      <c r="C173" s="71">
        <v>412700</v>
      </c>
      <c r="D173" s="93" t="s">
        <v>99</v>
      </c>
      <c r="E173" s="201">
        <v>20000</v>
      </c>
      <c r="F173" s="157">
        <f>G173-E173</f>
        <v>0</v>
      </c>
      <c r="G173" s="201">
        <v>20000</v>
      </c>
      <c r="H173" s="153">
        <f t="shared" si="22"/>
        <v>100</v>
      </c>
      <c r="I173" s="221">
        <f t="shared" si="21"/>
        <v>0.06565988181221273</v>
      </c>
      <c r="J173" s="6"/>
      <c r="K173" s="11"/>
      <c r="L173" s="11"/>
    </row>
    <row r="174" spans="1:12" ht="12.75">
      <c r="A174" s="134" t="s">
        <v>23</v>
      </c>
      <c r="B174" s="137"/>
      <c r="C174" s="71">
        <v>412900</v>
      </c>
      <c r="D174" s="93" t="s">
        <v>24</v>
      </c>
      <c r="E174" s="157">
        <v>400</v>
      </c>
      <c r="F174" s="157">
        <f>G174-E174</f>
        <v>0</v>
      </c>
      <c r="G174" s="157">
        <v>400</v>
      </c>
      <c r="H174" s="153">
        <f t="shared" si="22"/>
        <v>100</v>
      </c>
      <c r="I174" s="221">
        <f t="shared" si="21"/>
        <v>0.0013131976362442547</v>
      </c>
      <c r="J174" s="6"/>
      <c r="K174" s="11"/>
      <c r="L174" s="11"/>
    </row>
    <row r="175" spans="1:12" ht="24" customHeight="1">
      <c r="A175" s="134" t="s">
        <v>23</v>
      </c>
      <c r="B175" s="137"/>
      <c r="C175" s="71">
        <v>412900</v>
      </c>
      <c r="D175" s="93" t="s">
        <v>98</v>
      </c>
      <c r="E175" s="157">
        <v>22000</v>
      </c>
      <c r="F175" s="157">
        <f>G175-E175</f>
        <v>0</v>
      </c>
      <c r="G175" s="157">
        <v>22000</v>
      </c>
      <c r="H175" s="153">
        <f t="shared" si="22"/>
        <v>100</v>
      </c>
      <c r="I175" s="221">
        <f t="shared" si="21"/>
        <v>0.07222586999343401</v>
      </c>
      <c r="J175" s="6"/>
      <c r="K175" s="11"/>
      <c r="L175" s="11"/>
    </row>
    <row r="176" spans="1:12" ht="16.5" customHeight="1" hidden="1">
      <c r="A176" s="134"/>
      <c r="B176" s="57">
        <v>414000</v>
      </c>
      <c r="C176" s="71"/>
      <c r="D176" s="148" t="s">
        <v>174</v>
      </c>
      <c r="E176" s="150">
        <f>SUM(E177)</f>
        <v>0</v>
      </c>
      <c r="F176" s="150">
        <f>SUM(F177)</f>
        <v>0</v>
      </c>
      <c r="G176" s="150">
        <f>SUM(G177)</f>
        <v>0</v>
      </c>
      <c r="H176" s="150" t="e">
        <f t="shared" si="22"/>
        <v>#DIV/0!</v>
      </c>
      <c r="I176" s="151">
        <f t="shared" si="21"/>
        <v>0</v>
      </c>
      <c r="J176" s="6"/>
      <c r="K176" s="11"/>
      <c r="L176" s="11"/>
    </row>
    <row r="177" spans="1:12" ht="0.75" customHeight="1" hidden="1">
      <c r="A177" s="134" t="s">
        <v>34</v>
      </c>
      <c r="B177" s="137"/>
      <c r="C177" s="71">
        <v>414100</v>
      </c>
      <c r="D177" s="93" t="s">
        <v>418</v>
      </c>
      <c r="E177" s="158">
        <v>0</v>
      </c>
      <c r="F177" s="158">
        <v>0</v>
      </c>
      <c r="G177" s="158">
        <v>0</v>
      </c>
      <c r="H177" s="150" t="e">
        <f t="shared" si="22"/>
        <v>#DIV/0!</v>
      </c>
      <c r="I177" s="151">
        <f t="shared" si="21"/>
        <v>0</v>
      </c>
      <c r="J177" s="6"/>
      <c r="K177" s="11"/>
      <c r="L177" s="11"/>
    </row>
    <row r="178" spans="1:12" ht="12.75">
      <c r="A178" s="134"/>
      <c r="B178" s="57">
        <v>416100</v>
      </c>
      <c r="C178" s="71"/>
      <c r="D178" s="148" t="s">
        <v>1</v>
      </c>
      <c r="E178" s="150">
        <f>SUM(E179)</f>
        <v>5000</v>
      </c>
      <c r="F178" s="150">
        <f>SUM(F179)</f>
        <v>0</v>
      </c>
      <c r="G178" s="150">
        <f>SUM(G179)</f>
        <v>5000</v>
      </c>
      <c r="H178" s="150">
        <f t="shared" si="22"/>
        <v>100</v>
      </c>
      <c r="I178" s="151">
        <f t="shared" si="21"/>
        <v>0.016414970453053183</v>
      </c>
      <c r="J178" s="6"/>
      <c r="K178" s="11"/>
      <c r="L178" s="11"/>
    </row>
    <row r="179" spans="1:12" ht="12.75">
      <c r="A179" s="134" t="s">
        <v>34</v>
      </c>
      <c r="B179" s="137"/>
      <c r="C179" s="71">
        <v>416100</v>
      </c>
      <c r="D179" s="93" t="s">
        <v>418</v>
      </c>
      <c r="E179" s="74">
        <v>5000</v>
      </c>
      <c r="F179" s="74">
        <f>G179-E179</f>
        <v>0</v>
      </c>
      <c r="G179" s="74">
        <v>5000</v>
      </c>
      <c r="H179" s="153">
        <f t="shared" si="22"/>
        <v>100</v>
      </c>
      <c r="I179" s="221">
        <f t="shared" si="21"/>
        <v>0.016414970453053183</v>
      </c>
      <c r="J179" s="6"/>
      <c r="K179" s="11"/>
      <c r="L179" s="11"/>
    </row>
    <row r="180" spans="1:12" ht="30" customHeight="1">
      <c r="A180" s="515"/>
      <c r="B180" s="516"/>
      <c r="C180" s="507" t="s">
        <v>211</v>
      </c>
      <c r="D180" s="514"/>
      <c r="E180" s="172">
        <f>E171+E176+E178</f>
        <v>59900</v>
      </c>
      <c r="F180" s="172">
        <f>F171+F176+F178</f>
        <v>0</v>
      </c>
      <c r="G180" s="172">
        <f>G171+G176+G178</f>
        <v>59900</v>
      </c>
      <c r="H180" s="390">
        <f t="shared" si="22"/>
        <v>100</v>
      </c>
      <c r="I180" s="440">
        <f t="shared" si="21"/>
        <v>0.19665134602757714</v>
      </c>
      <c r="J180" s="6"/>
      <c r="K180" s="11"/>
      <c r="L180" s="11"/>
    </row>
    <row r="181" spans="1:12" ht="9.75" customHeight="1">
      <c r="A181" s="515"/>
      <c r="B181" s="516"/>
      <c r="C181" s="521" t="s">
        <v>584</v>
      </c>
      <c r="D181" s="526"/>
      <c r="E181" s="202"/>
      <c r="F181" s="202"/>
      <c r="G181" s="202"/>
      <c r="H181" s="202"/>
      <c r="I181" s="203"/>
      <c r="J181" s="6"/>
      <c r="K181" s="11"/>
      <c r="L181" s="11"/>
    </row>
    <row r="182" spans="1:12" ht="9.75" customHeight="1">
      <c r="A182" s="515"/>
      <c r="B182" s="516"/>
      <c r="C182" s="521"/>
      <c r="D182" s="526"/>
      <c r="E182" s="204"/>
      <c r="F182" s="204"/>
      <c r="G182" s="204"/>
      <c r="H182" s="204"/>
      <c r="I182" s="205"/>
      <c r="J182" s="6"/>
      <c r="K182" s="11"/>
      <c r="L182" s="11"/>
    </row>
    <row r="183" spans="1:12" ht="9.75" customHeight="1">
      <c r="A183" s="515"/>
      <c r="B183" s="516"/>
      <c r="C183" s="521"/>
      <c r="D183" s="526"/>
      <c r="E183" s="204"/>
      <c r="F183" s="204"/>
      <c r="G183" s="204"/>
      <c r="H183" s="204"/>
      <c r="I183" s="205"/>
      <c r="J183" s="6"/>
      <c r="K183" s="11"/>
      <c r="L183" s="11"/>
    </row>
    <row r="184" spans="1:12" ht="11.25" customHeight="1">
      <c r="A184" s="515"/>
      <c r="B184" s="516"/>
      <c r="C184" s="521"/>
      <c r="D184" s="526"/>
      <c r="E184" s="206"/>
      <c r="F184" s="206"/>
      <c r="G184" s="206"/>
      <c r="H184" s="206"/>
      <c r="I184" s="207"/>
      <c r="J184" s="6"/>
      <c r="K184" s="11"/>
      <c r="L184" s="11"/>
    </row>
    <row r="185" spans="1:12" ht="14.25" customHeight="1">
      <c r="A185" s="134"/>
      <c r="B185" s="57">
        <v>412000</v>
      </c>
      <c r="C185" s="83"/>
      <c r="D185" s="148" t="s">
        <v>119</v>
      </c>
      <c r="E185" s="150">
        <f>SUM(E186:E192)</f>
        <v>173400</v>
      </c>
      <c r="F185" s="150">
        <f>SUM(F186:F192)</f>
        <v>15400</v>
      </c>
      <c r="G185" s="150">
        <f>SUM(G186:G192)</f>
        <v>188800</v>
      </c>
      <c r="H185" s="150">
        <f>G185/E185*100</f>
        <v>108.881199538639</v>
      </c>
      <c r="I185" s="151">
        <f aca="true" t="shared" si="23" ref="I185:I216">G185/$G$604*100</f>
        <v>0.6198292843072882</v>
      </c>
      <c r="J185" s="6"/>
      <c r="K185" s="11"/>
      <c r="L185" s="11"/>
    </row>
    <row r="186" spans="1:12" ht="14.25" customHeight="1">
      <c r="A186" s="134" t="s">
        <v>23</v>
      </c>
      <c r="B186" s="57"/>
      <c r="C186" s="71">
        <v>412100</v>
      </c>
      <c r="D186" s="93" t="s">
        <v>231</v>
      </c>
      <c r="E186" s="159">
        <v>40000</v>
      </c>
      <c r="F186" s="159">
        <f aca="true" t="shared" si="24" ref="F186:F192">G186-E186</f>
        <v>0</v>
      </c>
      <c r="G186" s="159">
        <v>40000</v>
      </c>
      <c r="H186" s="153">
        <f aca="true" t="shared" si="25" ref="H186:H235">G186/E186*100</f>
        <v>100</v>
      </c>
      <c r="I186" s="221">
        <f t="shared" si="23"/>
        <v>0.13131976362442546</v>
      </c>
      <c r="J186" s="6"/>
      <c r="K186" s="11"/>
      <c r="L186" s="11"/>
    </row>
    <row r="187" spans="1:12" ht="25.5">
      <c r="A187" s="134" t="s">
        <v>23</v>
      </c>
      <c r="B187" s="57"/>
      <c r="C187" s="71">
        <v>412200</v>
      </c>
      <c r="D187" s="93" t="s">
        <v>473</v>
      </c>
      <c r="E187" s="159">
        <v>55000</v>
      </c>
      <c r="F187" s="159">
        <f t="shared" si="24"/>
        <v>5000</v>
      </c>
      <c r="G187" s="159">
        <v>60000</v>
      </c>
      <c r="H187" s="153">
        <f t="shared" si="25"/>
        <v>109.09090909090908</v>
      </c>
      <c r="I187" s="221">
        <f t="shared" si="23"/>
        <v>0.1969796454366382</v>
      </c>
      <c r="J187" s="6"/>
      <c r="K187" s="11"/>
      <c r="L187" s="11"/>
    </row>
    <row r="188" spans="1:12" ht="12.75" customHeight="1">
      <c r="A188" s="136" t="s">
        <v>23</v>
      </c>
      <c r="B188" s="137"/>
      <c r="C188" s="208">
        <v>412700</v>
      </c>
      <c r="D188" s="98" t="s">
        <v>168</v>
      </c>
      <c r="E188" s="159">
        <v>10000</v>
      </c>
      <c r="F188" s="159">
        <f t="shared" si="24"/>
        <v>0</v>
      </c>
      <c r="G188" s="159">
        <v>10000</v>
      </c>
      <c r="H188" s="153">
        <f t="shared" si="25"/>
        <v>100</v>
      </c>
      <c r="I188" s="221">
        <f t="shared" si="23"/>
        <v>0.032829940906106365</v>
      </c>
      <c r="J188" s="6"/>
      <c r="K188" s="11"/>
      <c r="L188" s="11"/>
    </row>
    <row r="189" spans="1:12" ht="12.75" customHeight="1">
      <c r="A189" s="136" t="s">
        <v>23</v>
      </c>
      <c r="B189" s="137"/>
      <c r="C189" s="208">
        <v>412700</v>
      </c>
      <c r="D189" s="98" t="s">
        <v>126</v>
      </c>
      <c r="E189" s="159">
        <v>0</v>
      </c>
      <c r="F189" s="159">
        <f t="shared" si="24"/>
        <v>900</v>
      </c>
      <c r="G189" s="159">
        <v>900</v>
      </c>
      <c r="H189" s="153" t="e">
        <f t="shared" si="25"/>
        <v>#DIV/0!</v>
      </c>
      <c r="I189" s="221">
        <f t="shared" si="23"/>
        <v>0.002954694681549573</v>
      </c>
      <c r="J189" s="6"/>
      <c r="K189" s="11"/>
      <c r="L189" s="11"/>
    </row>
    <row r="190" spans="1:12" ht="23.25" customHeight="1">
      <c r="A190" s="134" t="s">
        <v>23</v>
      </c>
      <c r="B190" s="137"/>
      <c r="C190" s="71">
        <v>412900</v>
      </c>
      <c r="D190" s="93" t="s">
        <v>232</v>
      </c>
      <c r="E190" s="159">
        <v>68000</v>
      </c>
      <c r="F190" s="159">
        <f t="shared" si="24"/>
        <v>7500</v>
      </c>
      <c r="G190" s="159">
        <v>75500</v>
      </c>
      <c r="H190" s="153">
        <f t="shared" si="25"/>
        <v>111.02941176470588</v>
      </c>
      <c r="I190" s="221">
        <f t="shared" si="23"/>
        <v>0.24786605384110308</v>
      </c>
      <c r="J190" s="6"/>
      <c r="K190" s="11"/>
      <c r="L190" s="11"/>
    </row>
    <row r="191" spans="1:12" ht="12.75" customHeight="1">
      <c r="A191" s="134" t="s">
        <v>23</v>
      </c>
      <c r="B191" s="137"/>
      <c r="C191" s="71">
        <v>412900</v>
      </c>
      <c r="D191" s="93" t="s">
        <v>0</v>
      </c>
      <c r="E191" s="157">
        <v>400</v>
      </c>
      <c r="F191" s="159">
        <f t="shared" si="24"/>
        <v>0</v>
      </c>
      <c r="G191" s="157">
        <v>400</v>
      </c>
      <c r="H191" s="153">
        <f t="shared" si="25"/>
        <v>100</v>
      </c>
      <c r="I191" s="221">
        <f t="shared" si="23"/>
        <v>0.0013131976362442547</v>
      </c>
      <c r="J191" s="6"/>
      <c r="K191" s="11"/>
      <c r="L191" s="11"/>
    </row>
    <row r="192" spans="1:12" ht="12.75" customHeight="1">
      <c r="A192" s="134" t="s">
        <v>23</v>
      </c>
      <c r="B192" s="137"/>
      <c r="C192" s="71">
        <v>412900</v>
      </c>
      <c r="D192" s="93" t="s">
        <v>664</v>
      </c>
      <c r="E192" s="157">
        <v>0</v>
      </c>
      <c r="F192" s="159">
        <f t="shared" si="24"/>
        <v>2000</v>
      </c>
      <c r="G192" s="157">
        <v>2000</v>
      </c>
      <c r="H192" s="153" t="e">
        <f t="shared" si="25"/>
        <v>#DIV/0!</v>
      </c>
      <c r="I192" s="221">
        <f t="shared" si="23"/>
        <v>0.006565988181221274</v>
      </c>
      <c r="J192" s="6"/>
      <c r="K192" s="11"/>
      <c r="L192" s="11"/>
    </row>
    <row r="193" spans="1:12" ht="15" customHeight="1">
      <c r="A193" s="134"/>
      <c r="B193" s="57"/>
      <c r="C193" s="71"/>
      <c r="D193" s="148" t="s">
        <v>186</v>
      </c>
      <c r="E193" s="188">
        <f>SUM(E194:E201)</f>
        <v>725000</v>
      </c>
      <c r="F193" s="188">
        <f>SUM(F194:F201)</f>
        <v>-72155</v>
      </c>
      <c r="G193" s="188">
        <f>SUM(G194:G201)</f>
        <v>652845</v>
      </c>
      <c r="H193" s="150">
        <f t="shared" si="25"/>
        <v>90.04758620689655</v>
      </c>
      <c r="I193" s="151">
        <f t="shared" si="23"/>
        <v>2.143286277084701</v>
      </c>
      <c r="J193" s="6"/>
      <c r="K193" s="11"/>
      <c r="L193" s="11"/>
    </row>
    <row r="194" spans="1:12" ht="48.75" customHeight="1">
      <c r="A194" s="136" t="s">
        <v>36</v>
      </c>
      <c r="B194" s="137"/>
      <c r="C194" s="102">
        <v>412800</v>
      </c>
      <c r="D194" s="98" t="s">
        <v>576</v>
      </c>
      <c r="E194" s="157">
        <v>135000</v>
      </c>
      <c r="F194" s="157">
        <f>G194-E194</f>
        <v>-4900</v>
      </c>
      <c r="G194" s="157">
        <v>130100</v>
      </c>
      <c r="H194" s="153">
        <f t="shared" si="25"/>
        <v>96.37037037037037</v>
      </c>
      <c r="I194" s="221">
        <f t="shared" si="23"/>
        <v>0.42711753118844387</v>
      </c>
      <c r="J194" s="6"/>
      <c r="K194" s="12"/>
      <c r="L194" s="11"/>
    </row>
    <row r="195" spans="1:12" ht="40.5" customHeight="1">
      <c r="A195" s="136" t="s">
        <v>36</v>
      </c>
      <c r="B195" s="137"/>
      <c r="C195" s="102">
        <v>412800</v>
      </c>
      <c r="D195" s="98" t="s">
        <v>494</v>
      </c>
      <c r="E195" s="159">
        <v>100000</v>
      </c>
      <c r="F195" s="157">
        <f aca="true" t="shared" si="26" ref="F195:F201">G195-E195</f>
        <v>20000</v>
      </c>
      <c r="G195" s="159">
        <v>120000</v>
      </c>
      <c r="H195" s="153">
        <f t="shared" si="25"/>
        <v>120</v>
      </c>
      <c r="I195" s="221">
        <f t="shared" si="23"/>
        <v>0.3939592908732764</v>
      </c>
      <c r="J195" s="6"/>
      <c r="K195" s="11"/>
      <c r="L195" s="463"/>
    </row>
    <row r="196" spans="1:12" ht="14.25" customHeight="1">
      <c r="A196" s="136" t="s">
        <v>36</v>
      </c>
      <c r="B196" s="137"/>
      <c r="C196" s="102">
        <v>412800</v>
      </c>
      <c r="D196" s="98" t="s">
        <v>495</v>
      </c>
      <c r="E196" s="159">
        <v>180000</v>
      </c>
      <c r="F196" s="157">
        <f t="shared" si="26"/>
        <v>-107255</v>
      </c>
      <c r="G196" s="159">
        <v>72745</v>
      </c>
      <c r="H196" s="153">
        <f t="shared" si="25"/>
        <v>40.41388888888889</v>
      </c>
      <c r="I196" s="221">
        <f t="shared" si="23"/>
        <v>0.2388214051214708</v>
      </c>
      <c r="J196" s="6"/>
      <c r="K196" s="11"/>
      <c r="L196" s="463"/>
    </row>
    <row r="197" spans="1:12" ht="25.5">
      <c r="A197" s="136" t="s">
        <v>36</v>
      </c>
      <c r="B197" s="137"/>
      <c r="C197" s="102">
        <v>412800</v>
      </c>
      <c r="D197" s="98" t="s">
        <v>112</v>
      </c>
      <c r="E197" s="159">
        <v>200000</v>
      </c>
      <c r="F197" s="157">
        <f t="shared" si="26"/>
        <v>0</v>
      </c>
      <c r="G197" s="159">
        <v>200000</v>
      </c>
      <c r="H197" s="153">
        <f t="shared" si="25"/>
        <v>100</v>
      </c>
      <c r="I197" s="221">
        <f t="shared" si="23"/>
        <v>0.6565988181221274</v>
      </c>
      <c r="J197" s="6"/>
      <c r="K197" s="11"/>
      <c r="L197" s="463"/>
    </row>
    <row r="198" spans="1:12" ht="12.75">
      <c r="A198" s="136" t="s">
        <v>36</v>
      </c>
      <c r="B198" s="137"/>
      <c r="C198" s="102">
        <v>412800</v>
      </c>
      <c r="D198" s="98" t="s">
        <v>631</v>
      </c>
      <c r="E198" s="159">
        <v>50000</v>
      </c>
      <c r="F198" s="157">
        <f t="shared" si="26"/>
        <v>30000</v>
      </c>
      <c r="G198" s="159">
        <v>80000</v>
      </c>
      <c r="H198" s="153">
        <f t="shared" si="25"/>
        <v>160</v>
      </c>
      <c r="I198" s="221">
        <f t="shared" si="23"/>
        <v>0.2626395272488509</v>
      </c>
      <c r="J198" s="6"/>
      <c r="K198" s="11"/>
      <c r="L198" s="463"/>
    </row>
    <row r="199" spans="1:12" ht="12.75">
      <c r="A199" s="136" t="s">
        <v>36</v>
      </c>
      <c r="B199" s="137"/>
      <c r="C199" s="137">
        <v>412800</v>
      </c>
      <c r="D199" s="80" t="s">
        <v>179</v>
      </c>
      <c r="E199" s="201">
        <v>10000</v>
      </c>
      <c r="F199" s="157">
        <f t="shared" si="26"/>
        <v>-5000</v>
      </c>
      <c r="G199" s="201">
        <v>5000</v>
      </c>
      <c r="H199" s="153">
        <f t="shared" si="25"/>
        <v>50</v>
      </c>
      <c r="I199" s="221">
        <f t="shared" si="23"/>
        <v>0.016414970453053183</v>
      </c>
      <c r="J199" s="6"/>
      <c r="K199" s="11"/>
      <c r="L199" s="463"/>
    </row>
    <row r="200" spans="1:12" ht="12.75">
      <c r="A200" s="136" t="s">
        <v>36</v>
      </c>
      <c r="B200" s="137"/>
      <c r="C200" s="102">
        <v>412800</v>
      </c>
      <c r="D200" s="98" t="s">
        <v>37</v>
      </c>
      <c r="E200" s="201">
        <v>20000</v>
      </c>
      <c r="F200" s="157">
        <f t="shared" si="26"/>
        <v>0</v>
      </c>
      <c r="G200" s="201">
        <v>20000</v>
      </c>
      <c r="H200" s="153">
        <f t="shared" si="25"/>
        <v>100</v>
      </c>
      <c r="I200" s="221">
        <f t="shared" si="23"/>
        <v>0.06565988181221273</v>
      </c>
      <c r="J200" s="6"/>
      <c r="K200" s="11"/>
      <c r="L200" s="11"/>
    </row>
    <row r="201" spans="1:12" ht="25.5" customHeight="1">
      <c r="A201" s="136" t="s">
        <v>36</v>
      </c>
      <c r="B201" s="137"/>
      <c r="C201" s="102">
        <v>412800</v>
      </c>
      <c r="D201" s="98" t="s">
        <v>115</v>
      </c>
      <c r="E201" s="201">
        <v>30000</v>
      </c>
      <c r="F201" s="157">
        <f t="shared" si="26"/>
        <v>-5000</v>
      </c>
      <c r="G201" s="201">
        <v>25000</v>
      </c>
      <c r="H201" s="153">
        <f t="shared" si="25"/>
        <v>83.33333333333334</v>
      </c>
      <c r="I201" s="221">
        <f t="shared" si="23"/>
        <v>0.08207485226526592</v>
      </c>
      <c r="J201" s="6"/>
      <c r="K201" s="11"/>
      <c r="L201" s="11"/>
    </row>
    <row r="202" spans="1:12" ht="16.5" customHeight="1">
      <c r="A202" s="134"/>
      <c r="B202" s="137"/>
      <c r="C202" s="101"/>
      <c r="D202" s="97" t="s">
        <v>38</v>
      </c>
      <c r="E202" s="188">
        <f>SUM(E203:E208)</f>
        <v>310000</v>
      </c>
      <c r="F202" s="188">
        <f>SUM(F203:F208)</f>
        <v>-30000</v>
      </c>
      <c r="G202" s="188">
        <f>SUM(G203:G208)</f>
        <v>280000</v>
      </c>
      <c r="H202" s="150">
        <f t="shared" si="25"/>
        <v>90.32258064516128</v>
      </c>
      <c r="I202" s="151">
        <f t="shared" si="23"/>
        <v>0.9192383453709784</v>
      </c>
      <c r="J202" s="6"/>
      <c r="K202" s="11"/>
      <c r="L202" s="11"/>
    </row>
    <row r="203" spans="1:12" ht="24.75" customHeight="1">
      <c r="A203" s="134" t="s">
        <v>39</v>
      </c>
      <c r="B203" s="137"/>
      <c r="C203" s="102">
        <v>412500</v>
      </c>
      <c r="D203" s="98" t="s">
        <v>400</v>
      </c>
      <c r="E203" s="157">
        <v>150000</v>
      </c>
      <c r="F203" s="157">
        <f aca="true" t="shared" si="27" ref="F203:F208">G203-E203</f>
        <v>15000</v>
      </c>
      <c r="G203" s="157">
        <v>165000</v>
      </c>
      <c r="H203" s="153">
        <f t="shared" si="25"/>
        <v>110.00000000000001</v>
      </c>
      <c r="I203" s="221">
        <f t="shared" si="23"/>
        <v>0.5416940249507551</v>
      </c>
      <c r="J203" s="6"/>
      <c r="K203" s="11"/>
      <c r="L203" s="463"/>
    </row>
    <row r="204" spans="1:12" ht="22.5" customHeight="1" hidden="1">
      <c r="A204" s="134" t="s">
        <v>39</v>
      </c>
      <c r="B204" s="137"/>
      <c r="C204" s="102">
        <v>412500</v>
      </c>
      <c r="D204" s="98" t="s">
        <v>243</v>
      </c>
      <c r="E204" s="157"/>
      <c r="F204" s="157">
        <f t="shared" si="27"/>
        <v>0</v>
      </c>
      <c r="G204" s="157"/>
      <c r="H204" s="153" t="e">
        <f t="shared" si="25"/>
        <v>#DIV/0!</v>
      </c>
      <c r="I204" s="221">
        <f t="shared" si="23"/>
        <v>0</v>
      </c>
      <c r="J204" s="6"/>
      <c r="K204" s="11"/>
      <c r="L204" s="11"/>
    </row>
    <row r="205" spans="1:12" ht="24.75" customHeight="1">
      <c r="A205" s="134" t="s">
        <v>39</v>
      </c>
      <c r="B205" s="137"/>
      <c r="C205" s="102">
        <v>412500</v>
      </c>
      <c r="D205" s="80" t="s">
        <v>172</v>
      </c>
      <c r="E205" s="157">
        <v>20000</v>
      </c>
      <c r="F205" s="157">
        <f t="shared" si="27"/>
        <v>0</v>
      </c>
      <c r="G205" s="157">
        <v>20000</v>
      </c>
      <c r="H205" s="153">
        <f t="shared" si="25"/>
        <v>100</v>
      </c>
      <c r="I205" s="221">
        <f t="shared" si="23"/>
        <v>0.06565988181221273</v>
      </c>
      <c r="J205" s="6"/>
      <c r="K205" s="11"/>
      <c r="L205" s="11"/>
    </row>
    <row r="206" spans="1:12" ht="15.75" customHeight="1">
      <c r="A206" s="134" t="s">
        <v>39</v>
      </c>
      <c r="B206" s="137"/>
      <c r="C206" s="102">
        <v>412500</v>
      </c>
      <c r="D206" s="98" t="s">
        <v>183</v>
      </c>
      <c r="E206" s="159">
        <v>50000</v>
      </c>
      <c r="F206" s="157">
        <f t="shared" si="27"/>
        <v>-20000</v>
      </c>
      <c r="G206" s="159">
        <v>30000</v>
      </c>
      <c r="H206" s="153">
        <f t="shared" si="25"/>
        <v>60</v>
      </c>
      <c r="I206" s="221">
        <f t="shared" si="23"/>
        <v>0.0984898227183191</v>
      </c>
      <c r="J206" s="6"/>
      <c r="K206" s="11"/>
      <c r="L206" s="11"/>
    </row>
    <row r="207" spans="1:12" ht="12.75">
      <c r="A207" s="134" t="s">
        <v>39</v>
      </c>
      <c r="B207" s="137"/>
      <c r="C207" s="102">
        <v>412500</v>
      </c>
      <c r="D207" s="98" t="s">
        <v>40</v>
      </c>
      <c r="E207" s="159">
        <v>80000</v>
      </c>
      <c r="F207" s="157">
        <f t="shared" si="27"/>
        <v>-20000</v>
      </c>
      <c r="G207" s="159">
        <v>60000</v>
      </c>
      <c r="H207" s="153">
        <f t="shared" si="25"/>
        <v>75</v>
      </c>
      <c r="I207" s="221">
        <f t="shared" si="23"/>
        <v>0.1969796454366382</v>
      </c>
      <c r="J207" s="6"/>
      <c r="K207" s="11"/>
      <c r="L207" s="11"/>
    </row>
    <row r="208" spans="1:12" ht="10.5" customHeight="1">
      <c r="A208" s="134" t="s">
        <v>39</v>
      </c>
      <c r="B208" s="137"/>
      <c r="C208" s="102">
        <v>412500</v>
      </c>
      <c r="D208" s="98" t="s">
        <v>41</v>
      </c>
      <c r="E208" s="159">
        <v>10000</v>
      </c>
      <c r="F208" s="157">
        <f t="shared" si="27"/>
        <v>-5000</v>
      </c>
      <c r="G208" s="159">
        <v>5000</v>
      </c>
      <c r="H208" s="153">
        <f t="shared" si="25"/>
        <v>50</v>
      </c>
      <c r="I208" s="221">
        <f t="shared" si="23"/>
        <v>0.016414970453053183</v>
      </c>
      <c r="J208" s="6"/>
      <c r="K208" s="11"/>
      <c r="L208" s="11"/>
    </row>
    <row r="209" spans="1:12" ht="14.25" customHeight="1" hidden="1">
      <c r="A209" s="134"/>
      <c r="B209" s="57">
        <v>414000</v>
      </c>
      <c r="C209" s="102"/>
      <c r="D209" s="97" t="s">
        <v>174</v>
      </c>
      <c r="E209" s="188">
        <f>SUM(E210)</f>
        <v>0</v>
      </c>
      <c r="F209" s="188">
        <f>SUM(F210)</f>
        <v>0</v>
      </c>
      <c r="G209" s="188">
        <f>SUM(G210)</f>
        <v>0</v>
      </c>
      <c r="H209" s="150" t="e">
        <f t="shared" si="25"/>
        <v>#DIV/0!</v>
      </c>
      <c r="I209" s="151">
        <f t="shared" si="23"/>
        <v>0</v>
      </c>
      <c r="J209" s="6"/>
      <c r="K209" s="11"/>
      <c r="L209" s="11"/>
    </row>
    <row r="210" spans="1:12" ht="12.75" customHeight="1" hidden="1">
      <c r="A210" s="134" t="s">
        <v>28</v>
      </c>
      <c r="B210" s="137"/>
      <c r="C210" s="102">
        <v>414100</v>
      </c>
      <c r="D210" s="98" t="s">
        <v>445</v>
      </c>
      <c r="E210" s="157">
        <v>0</v>
      </c>
      <c r="F210" s="157">
        <v>0</v>
      </c>
      <c r="G210" s="157">
        <v>0</v>
      </c>
      <c r="H210" s="150" t="e">
        <f t="shared" si="25"/>
        <v>#DIV/0!</v>
      </c>
      <c r="I210" s="151">
        <f t="shared" si="23"/>
        <v>0</v>
      </c>
      <c r="J210" s="6"/>
      <c r="K210" s="11"/>
      <c r="L210" s="11"/>
    </row>
    <row r="211" spans="1:12" ht="12.75">
      <c r="A211" s="134"/>
      <c r="B211" s="57">
        <v>415000</v>
      </c>
      <c r="C211" s="102"/>
      <c r="D211" s="97" t="s">
        <v>133</v>
      </c>
      <c r="E211" s="188">
        <f>SUM(E212:E212)</f>
        <v>50000</v>
      </c>
      <c r="F211" s="188">
        <f>SUM(F212:F212)</f>
        <v>-25000</v>
      </c>
      <c r="G211" s="188">
        <f>SUM(G212:G212)</f>
        <v>25000</v>
      </c>
      <c r="H211" s="150">
        <f t="shared" si="25"/>
        <v>50</v>
      </c>
      <c r="I211" s="151">
        <f t="shared" si="23"/>
        <v>0.08207485226526592</v>
      </c>
      <c r="J211" s="6"/>
      <c r="K211" s="11"/>
      <c r="L211" s="11"/>
    </row>
    <row r="212" spans="1:12" ht="12.75">
      <c r="A212" s="134" t="s">
        <v>36</v>
      </c>
      <c r="B212" s="57"/>
      <c r="C212" s="102">
        <v>415200</v>
      </c>
      <c r="D212" s="98" t="s">
        <v>624</v>
      </c>
      <c r="E212" s="153">
        <v>50000</v>
      </c>
      <c r="F212" s="153">
        <f>G212-E212</f>
        <v>-25000</v>
      </c>
      <c r="G212" s="201">
        <v>25000</v>
      </c>
      <c r="H212" s="153">
        <f t="shared" si="25"/>
        <v>50</v>
      </c>
      <c r="I212" s="221">
        <f t="shared" si="23"/>
        <v>0.08207485226526592</v>
      </c>
      <c r="J212" s="6"/>
      <c r="K212" s="11"/>
      <c r="L212" s="11"/>
    </row>
    <row r="213" spans="1:12" ht="12.75">
      <c r="A213" s="136"/>
      <c r="B213" s="57">
        <v>416000</v>
      </c>
      <c r="C213" s="102"/>
      <c r="D213" s="332" t="s">
        <v>1</v>
      </c>
      <c r="E213" s="188">
        <f>SUM(E214)</f>
        <v>600</v>
      </c>
      <c r="F213" s="188">
        <f>SUM(F214)</f>
        <v>0</v>
      </c>
      <c r="G213" s="188">
        <f>SUM(G214)</f>
        <v>600</v>
      </c>
      <c r="H213" s="150">
        <f t="shared" si="25"/>
        <v>100</v>
      </c>
      <c r="I213" s="151">
        <f t="shared" si="23"/>
        <v>0.0019697964543663824</v>
      </c>
      <c r="J213" s="6"/>
      <c r="K213" s="11"/>
      <c r="L213" s="11"/>
    </row>
    <row r="214" spans="1:12" ht="12.75">
      <c r="A214" s="136" t="s">
        <v>28</v>
      </c>
      <c r="B214" s="137"/>
      <c r="C214" s="102">
        <v>416100</v>
      </c>
      <c r="D214" s="130" t="s">
        <v>445</v>
      </c>
      <c r="E214" s="159">
        <v>600</v>
      </c>
      <c r="F214" s="159">
        <f>G214-E214</f>
        <v>0</v>
      </c>
      <c r="G214" s="159">
        <v>600</v>
      </c>
      <c r="H214" s="153">
        <f t="shared" si="25"/>
        <v>100</v>
      </c>
      <c r="I214" s="221">
        <f t="shared" si="23"/>
        <v>0.0019697964543663824</v>
      </c>
      <c r="J214" s="6"/>
      <c r="K214" s="12"/>
      <c r="L214" s="11"/>
    </row>
    <row r="215" spans="1:12" ht="12.75">
      <c r="A215" s="134"/>
      <c r="B215" s="57">
        <v>511000</v>
      </c>
      <c r="C215" s="137"/>
      <c r="D215" s="148" t="s">
        <v>137</v>
      </c>
      <c r="E215" s="188">
        <f>SUM(E216:E217)</f>
        <v>10000</v>
      </c>
      <c r="F215" s="188">
        <f>SUM(F216:F217)</f>
        <v>56000</v>
      </c>
      <c r="G215" s="188">
        <f>SUM(G216:G217)</f>
        <v>66000</v>
      </c>
      <c r="H215" s="150">
        <f t="shared" si="25"/>
        <v>660</v>
      </c>
      <c r="I215" s="151">
        <f t="shared" si="23"/>
        <v>0.21667760998030205</v>
      </c>
      <c r="J215" s="6"/>
      <c r="K215" s="12"/>
      <c r="L215" s="11"/>
    </row>
    <row r="216" spans="1:12" ht="23.25" customHeight="1">
      <c r="A216" s="134" t="s">
        <v>36</v>
      </c>
      <c r="B216" s="137"/>
      <c r="C216" s="212">
        <v>511200</v>
      </c>
      <c r="D216" s="130" t="s">
        <v>487</v>
      </c>
      <c r="E216" s="159">
        <v>10000</v>
      </c>
      <c r="F216" s="159">
        <f>G216-E216</f>
        <v>-5000</v>
      </c>
      <c r="G216" s="159">
        <v>5000</v>
      </c>
      <c r="H216" s="153">
        <f t="shared" si="25"/>
        <v>50</v>
      </c>
      <c r="I216" s="221">
        <f t="shared" si="23"/>
        <v>0.016414970453053183</v>
      </c>
      <c r="J216" s="6"/>
      <c r="K216" s="12"/>
      <c r="L216" s="11"/>
    </row>
    <row r="217" spans="1:12" ht="20.25" customHeight="1">
      <c r="A217" s="134" t="s">
        <v>683</v>
      </c>
      <c r="B217" s="137"/>
      <c r="C217" s="212">
        <v>511300</v>
      </c>
      <c r="D217" s="130" t="s">
        <v>684</v>
      </c>
      <c r="E217" s="159">
        <v>0</v>
      </c>
      <c r="F217" s="159">
        <f>G217-E217</f>
        <v>61000</v>
      </c>
      <c r="G217" s="159">
        <v>61000</v>
      </c>
      <c r="H217" s="153" t="e">
        <f t="shared" si="25"/>
        <v>#DIV/0!</v>
      </c>
      <c r="I217" s="221">
        <f aca="true" t="shared" si="28" ref="I217:I235">G217/$G$604*100</f>
        <v>0.20026263952724882</v>
      </c>
      <c r="J217" s="6"/>
      <c r="K217" s="12"/>
      <c r="L217" s="11"/>
    </row>
    <row r="218" spans="1:12" ht="16.5" customHeight="1">
      <c r="A218" s="134"/>
      <c r="B218" s="137"/>
      <c r="C218" s="90"/>
      <c r="D218" s="97" t="s">
        <v>403</v>
      </c>
      <c r="E218" s="188">
        <f>E219+E224</f>
        <v>6650000</v>
      </c>
      <c r="F218" s="188">
        <f>F219+F224</f>
        <v>1053300</v>
      </c>
      <c r="G218" s="188">
        <f>G219+G224</f>
        <v>7703300</v>
      </c>
      <c r="H218" s="150">
        <f t="shared" si="25"/>
        <v>115.8390977443609</v>
      </c>
      <c r="I218" s="151">
        <f t="shared" si="28"/>
        <v>25.28988837820092</v>
      </c>
      <c r="J218" s="6"/>
      <c r="K218" s="11"/>
      <c r="L218" s="11"/>
    </row>
    <row r="219" spans="1:12" ht="14.25" customHeight="1">
      <c r="A219" s="134"/>
      <c r="B219" s="137"/>
      <c r="C219" s="90"/>
      <c r="D219" s="97" t="s">
        <v>297</v>
      </c>
      <c r="E219" s="215">
        <f>SUM(E221:E223)</f>
        <v>1650000</v>
      </c>
      <c r="F219" s="215">
        <f>SUM(F221:F223)</f>
        <v>1053300</v>
      </c>
      <c r="G219" s="215">
        <f>SUM(G221:G223)</f>
        <v>2703300</v>
      </c>
      <c r="H219" s="216">
        <f t="shared" si="25"/>
        <v>163.83636363636364</v>
      </c>
      <c r="I219" s="438">
        <f t="shared" si="28"/>
        <v>8.874917925147734</v>
      </c>
      <c r="J219" s="6"/>
      <c r="K219" s="11"/>
      <c r="L219" s="11"/>
    </row>
    <row r="220" spans="1:12" ht="12.75" customHeight="1" hidden="1">
      <c r="A220" s="217" t="s">
        <v>36</v>
      </c>
      <c r="B220" s="218"/>
      <c r="C220" s="219">
        <v>511100</v>
      </c>
      <c r="D220" s="220" t="s">
        <v>439</v>
      </c>
      <c r="E220" s="159">
        <v>0</v>
      </c>
      <c r="F220" s="159">
        <v>0</v>
      </c>
      <c r="G220" s="159">
        <v>0</v>
      </c>
      <c r="H220" s="150" t="e">
        <f t="shared" si="25"/>
        <v>#DIV/0!</v>
      </c>
      <c r="I220" s="151">
        <f t="shared" si="28"/>
        <v>0</v>
      </c>
      <c r="J220" s="19"/>
      <c r="K220" s="11"/>
      <c r="L220" s="11"/>
    </row>
    <row r="221" spans="1:12" ht="38.25">
      <c r="A221" s="217" t="s">
        <v>36</v>
      </c>
      <c r="B221" s="218"/>
      <c r="C221" s="219">
        <v>511200</v>
      </c>
      <c r="D221" s="220" t="s">
        <v>289</v>
      </c>
      <c r="E221" s="201">
        <f>523000-296000+91000-3000+5000-70000</f>
        <v>250000</v>
      </c>
      <c r="F221" s="201">
        <f>G221-E221</f>
        <v>1963300</v>
      </c>
      <c r="G221" s="201">
        <v>2213300</v>
      </c>
      <c r="H221" s="153">
        <f t="shared" si="25"/>
        <v>885.3199999999999</v>
      </c>
      <c r="I221" s="221">
        <f t="shared" si="28"/>
        <v>7.266250820748523</v>
      </c>
      <c r="J221" s="337"/>
      <c r="K221" s="12"/>
      <c r="L221" s="11"/>
    </row>
    <row r="222" spans="1:12" ht="12.75">
      <c r="A222" s="395" t="s">
        <v>36</v>
      </c>
      <c r="B222" s="396"/>
      <c r="C222" s="397">
        <v>511200</v>
      </c>
      <c r="D222" s="398" t="s">
        <v>610</v>
      </c>
      <c r="E222" s="201">
        <v>300000</v>
      </c>
      <c r="F222" s="201">
        <f>G222-E222</f>
        <v>90000</v>
      </c>
      <c r="G222" s="201">
        <v>390000</v>
      </c>
      <c r="H222" s="153">
        <f t="shared" si="25"/>
        <v>130</v>
      </c>
      <c r="I222" s="221">
        <f t="shared" si="28"/>
        <v>1.2803676953381482</v>
      </c>
      <c r="J222" s="337"/>
      <c r="K222" s="12"/>
      <c r="L222" s="11"/>
    </row>
    <row r="223" spans="1:12" ht="12.75">
      <c r="A223" s="395" t="s">
        <v>36</v>
      </c>
      <c r="B223" s="396"/>
      <c r="C223" s="397">
        <v>511200</v>
      </c>
      <c r="D223" s="398" t="s">
        <v>608</v>
      </c>
      <c r="E223" s="201">
        <v>1100000</v>
      </c>
      <c r="F223" s="201">
        <f>G223-E223</f>
        <v>-1000000</v>
      </c>
      <c r="G223" s="201">
        <v>100000</v>
      </c>
      <c r="H223" s="153">
        <f t="shared" si="25"/>
        <v>9.090909090909092</v>
      </c>
      <c r="I223" s="221">
        <f t="shared" si="28"/>
        <v>0.3282994090610637</v>
      </c>
      <c r="J223" s="337"/>
      <c r="K223" s="11"/>
      <c r="L223" s="11"/>
    </row>
    <row r="224" spans="1:12" ht="12.75">
      <c r="A224" s="222"/>
      <c r="B224" s="218"/>
      <c r="C224" s="219"/>
      <c r="D224" s="348" t="s">
        <v>498</v>
      </c>
      <c r="E224" s="349">
        <f>SUM(E225:E231)</f>
        <v>5000000</v>
      </c>
      <c r="F224" s="349">
        <f>SUM(F225:F231)</f>
        <v>0</v>
      </c>
      <c r="G224" s="349">
        <f>SUM(G225:G231)</f>
        <v>5000000</v>
      </c>
      <c r="H224" s="350">
        <f t="shared" si="25"/>
        <v>100</v>
      </c>
      <c r="I224" s="351">
        <f t="shared" si="28"/>
        <v>16.414970453053186</v>
      </c>
      <c r="J224" s="6"/>
      <c r="K224" s="11"/>
      <c r="L224" s="11"/>
    </row>
    <row r="225" spans="1:12" ht="12.75">
      <c r="A225" s="222" t="s">
        <v>36</v>
      </c>
      <c r="B225" s="218"/>
      <c r="C225" s="219">
        <v>511200</v>
      </c>
      <c r="D225" s="418" t="s">
        <v>616</v>
      </c>
      <c r="E225" s="345">
        <v>1300000</v>
      </c>
      <c r="F225" s="345">
        <f>G225-E225</f>
        <v>0</v>
      </c>
      <c r="G225" s="345">
        <v>1300000</v>
      </c>
      <c r="H225" s="153">
        <f t="shared" si="25"/>
        <v>100</v>
      </c>
      <c r="I225" s="221">
        <f t="shared" si="28"/>
        <v>4.267892317793828</v>
      </c>
      <c r="J225" s="6"/>
      <c r="K225" s="11"/>
      <c r="L225" s="11"/>
    </row>
    <row r="226" spans="1:12" ht="12.75">
      <c r="A226" s="222" t="s">
        <v>36</v>
      </c>
      <c r="B226" s="218"/>
      <c r="C226" s="219">
        <v>511200</v>
      </c>
      <c r="D226" s="418" t="s">
        <v>617</v>
      </c>
      <c r="E226" s="345">
        <v>1000000</v>
      </c>
      <c r="F226" s="345">
        <f aca="true" t="shared" si="29" ref="F226:F231">G226-E226</f>
        <v>0</v>
      </c>
      <c r="G226" s="345">
        <v>1000000</v>
      </c>
      <c r="H226" s="153">
        <f t="shared" si="25"/>
        <v>100</v>
      </c>
      <c r="I226" s="221">
        <f t="shared" si="28"/>
        <v>3.282994090610637</v>
      </c>
      <c r="J226" s="6"/>
      <c r="K226" s="11"/>
      <c r="L226" s="11"/>
    </row>
    <row r="227" spans="1:12" ht="12.75">
      <c r="A227" s="222" t="s">
        <v>36</v>
      </c>
      <c r="B227" s="218"/>
      <c r="C227" s="219">
        <v>511200</v>
      </c>
      <c r="D227" s="418" t="s">
        <v>618</v>
      </c>
      <c r="E227" s="345">
        <v>1000000</v>
      </c>
      <c r="F227" s="345">
        <f t="shared" si="29"/>
        <v>0</v>
      </c>
      <c r="G227" s="345">
        <v>1000000</v>
      </c>
      <c r="H227" s="153">
        <f t="shared" si="25"/>
        <v>100</v>
      </c>
      <c r="I227" s="221">
        <f t="shared" si="28"/>
        <v>3.282994090610637</v>
      </c>
      <c r="J227" s="6"/>
      <c r="K227" s="11"/>
      <c r="L227" s="11"/>
    </row>
    <row r="228" spans="1:12" ht="12.75">
      <c r="A228" s="222" t="s">
        <v>36</v>
      </c>
      <c r="B228" s="218"/>
      <c r="C228" s="219">
        <v>511200</v>
      </c>
      <c r="D228" s="418" t="s">
        <v>619</v>
      </c>
      <c r="E228" s="345">
        <v>950000</v>
      </c>
      <c r="F228" s="345">
        <f t="shared" si="29"/>
        <v>0</v>
      </c>
      <c r="G228" s="345">
        <v>950000</v>
      </c>
      <c r="H228" s="153">
        <f t="shared" si="25"/>
        <v>100</v>
      </c>
      <c r="I228" s="221">
        <f t="shared" si="28"/>
        <v>3.118844386080105</v>
      </c>
      <c r="J228" s="6"/>
      <c r="K228" s="11"/>
      <c r="L228" s="11"/>
    </row>
    <row r="229" spans="1:12" ht="25.5">
      <c r="A229" s="222" t="s">
        <v>36</v>
      </c>
      <c r="B229" s="218"/>
      <c r="C229" s="219">
        <v>511200</v>
      </c>
      <c r="D229" s="418" t="s">
        <v>629</v>
      </c>
      <c r="E229" s="345">
        <v>250000</v>
      </c>
      <c r="F229" s="345">
        <f t="shared" si="29"/>
        <v>0</v>
      </c>
      <c r="G229" s="345">
        <v>250000</v>
      </c>
      <c r="H229" s="153">
        <f t="shared" si="25"/>
        <v>100</v>
      </c>
      <c r="I229" s="221">
        <f t="shared" si="28"/>
        <v>0.8207485226526593</v>
      </c>
      <c r="J229" s="6"/>
      <c r="K229" s="11"/>
      <c r="L229" s="11"/>
    </row>
    <row r="230" spans="1:12" ht="25.5">
      <c r="A230" s="222" t="s">
        <v>36</v>
      </c>
      <c r="B230" s="218"/>
      <c r="C230" s="219">
        <v>511200</v>
      </c>
      <c r="D230" s="418" t="s">
        <v>620</v>
      </c>
      <c r="E230" s="345">
        <v>250000</v>
      </c>
      <c r="F230" s="345">
        <f t="shared" si="29"/>
        <v>0</v>
      </c>
      <c r="G230" s="345">
        <v>250000</v>
      </c>
      <c r="H230" s="153">
        <f t="shared" si="25"/>
        <v>100</v>
      </c>
      <c r="I230" s="221">
        <f t="shared" si="28"/>
        <v>0.8207485226526593</v>
      </c>
      <c r="J230" s="6"/>
      <c r="K230" s="11"/>
      <c r="L230" s="11"/>
    </row>
    <row r="231" spans="1:12" ht="39" customHeight="1">
      <c r="A231" s="222" t="s">
        <v>36</v>
      </c>
      <c r="B231" s="218"/>
      <c r="C231" s="219">
        <v>511200</v>
      </c>
      <c r="D231" s="418" t="s">
        <v>621</v>
      </c>
      <c r="E231" s="345">
        <v>250000</v>
      </c>
      <c r="F231" s="345">
        <f t="shared" si="29"/>
        <v>0</v>
      </c>
      <c r="G231" s="345">
        <v>250000</v>
      </c>
      <c r="H231" s="153">
        <f t="shared" si="25"/>
        <v>100</v>
      </c>
      <c r="I231" s="221">
        <f t="shared" si="28"/>
        <v>0.8207485226526593</v>
      </c>
      <c r="J231" s="6"/>
      <c r="K231" s="11"/>
      <c r="L231" s="11"/>
    </row>
    <row r="232" spans="1:12" ht="12.75" customHeight="1" hidden="1">
      <c r="A232" s="222"/>
      <c r="B232" s="218"/>
      <c r="C232" s="219"/>
      <c r="D232" s="348"/>
      <c r="E232" s="417"/>
      <c r="F232" s="417"/>
      <c r="G232" s="417"/>
      <c r="H232" s="150" t="e">
        <f t="shared" si="25"/>
        <v>#DIV/0!</v>
      </c>
      <c r="I232" s="151">
        <f t="shared" si="28"/>
        <v>0</v>
      </c>
      <c r="J232" s="6"/>
      <c r="K232" s="11"/>
      <c r="L232" s="11"/>
    </row>
    <row r="233" spans="1:12" ht="36" customHeight="1" hidden="1">
      <c r="A233" s="222" t="s">
        <v>36</v>
      </c>
      <c r="B233" s="218"/>
      <c r="C233" s="219">
        <v>511200</v>
      </c>
      <c r="D233" s="220" t="s">
        <v>289</v>
      </c>
      <c r="E233" s="159">
        <v>0</v>
      </c>
      <c r="F233" s="159">
        <v>0</v>
      </c>
      <c r="G233" s="159">
        <v>0</v>
      </c>
      <c r="H233" s="150" t="e">
        <f t="shared" si="25"/>
        <v>#DIV/0!</v>
      </c>
      <c r="I233" s="151">
        <f t="shared" si="28"/>
        <v>0</v>
      </c>
      <c r="J233" s="6"/>
      <c r="K233" s="11"/>
      <c r="L233" s="11"/>
    </row>
    <row r="234" spans="1:12" ht="14.25" customHeight="1" hidden="1">
      <c r="A234" s="223" t="s">
        <v>36</v>
      </c>
      <c r="B234" s="224"/>
      <c r="C234" s="82">
        <v>511200</v>
      </c>
      <c r="D234" s="130" t="s">
        <v>189</v>
      </c>
      <c r="E234" s="159">
        <v>0</v>
      </c>
      <c r="F234" s="159">
        <v>0</v>
      </c>
      <c r="G234" s="159">
        <v>0</v>
      </c>
      <c r="H234" s="150" t="e">
        <f t="shared" si="25"/>
        <v>#DIV/0!</v>
      </c>
      <c r="I234" s="151">
        <f t="shared" si="28"/>
        <v>0</v>
      </c>
      <c r="J234" s="6"/>
      <c r="K234" s="11"/>
      <c r="L234" s="11"/>
    </row>
    <row r="235" spans="1:12" ht="27" customHeight="1">
      <c r="A235" s="550"/>
      <c r="B235" s="551"/>
      <c r="C235" s="507" t="s">
        <v>81</v>
      </c>
      <c r="D235" s="514"/>
      <c r="E235" s="172">
        <f>E185+E193+E202+E209+E211+E213+E215+E218</f>
        <v>7919000</v>
      </c>
      <c r="F235" s="172">
        <f>F185+F193+F202+F209+F211+F213+F215+F218</f>
        <v>997545</v>
      </c>
      <c r="G235" s="172">
        <f>G185+G193+G202+G209+G211+G213+G215+G218</f>
        <v>8916545</v>
      </c>
      <c r="H235" s="390">
        <f t="shared" si="25"/>
        <v>112.5968556635939</v>
      </c>
      <c r="I235" s="440">
        <f t="shared" si="28"/>
        <v>29.27296454366382</v>
      </c>
      <c r="J235" s="6"/>
      <c r="K235" s="11"/>
      <c r="L235" s="464"/>
    </row>
    <row r="236" spans="1:12" ht="9.75" customHeight="1">
      <c r="A236" s="515"/>
      <c r="B236" s="516"/>
      <c r="C236" s="521" t="s">
        <v>583</v>
      </c>
      <c r="D236" s="526"/>
      <c r="E236" s="163"/>
      <c r="F236" s="163"/>
      <c r="G236" s="163"/>
      <c r="H236" s="163"/>
      <c r="I236" s="164"/>
      <c r="J236" s="6"/>
      <c r="K236" s="11"/>
      <c r="L236" s="11"/>
    </row>
    <row r="237" spans="1:12" ht="9.75" customHeight="1">
      <c r="A237" s="515"/>
      <c r="B237" s="516"/>
      <c r="C237" s="521"/>
      <c r="D237" s="526"/>
      <c r="E237" s="165"/>
      <c r="F237" s="165"/>
      <c r="G237" s="165"/>
      <c r="H237" s="165"/>
      <c r="I237" s="166"/>
      <c r="J237" s="6"/>
      <c r="K237" s="11"/>
      <c r="L237" s="11"/>
    </row>
    <row r="238" spans="1:12" ht="9.75" customHeight="1">
      <c r="A238" s="515"/>
      <c r="B238" s="516"/>
      <c r="C238" s="521"/>
      <c r="D238" s="526"/>
      <c r="E238" s="165"/>
      <c r="F238" s="165"/>
      <c r="G238" s="165"/>
      <c r="H238" s="165"/>
      <c r="I238" s="166"/>
      <c r="J238" s="6"/>
      <c r="K238" s="11"/>
      <c r="L238" s="11"/>
    </row>
    <row r="239" spans="1:12" ht="9" customHeight="1">
      <c r="A239" s="515"/>
      <c r="B239" s="516"/>
      <c r="C239" s="521"/>
      <c r="D239" s="526"/>
      <c r="E239" s="167"/>
      <c r="F239" s="167"/>
      <c r="G239" s="167"/>
      <c r="H239" s="167"/>
      <c r="I239" s="168"/>
      <c r="J239" s="6"/>
      <c r="K239" s="11"/>
      <c r="L239" s="11"/>
    </row>
    <row r="240" spans="1:12" ht="16.5" customHeight="1">
      <c r="A240" s="134"/>
      <c r="B240" s="57">
        <v>412000</v>
      </c>
      <c r="C240" s="71"/>
      <c r="D240" s="148" t="s">
        <v>119</v>
      </c>
      <c r="E240" s="150">
        <f>SUM(E241:E243)</f>
        <v>7700</v>
      </c>
      <c r="F240" s="150">
        <f>SUM(F241:F243)</f>
        <v>0</v>
      </c>
      <c r="G240" s="150">
        <f>SUM(G241:G243)</f>
        <v>7700</v>
      </c>
      <c r="H240" s="150">
        <f>G240/E240*100</f>
        <v>100</v>
      </c>
      <c r="I240" s="151">
        <f aca="true" t="shared" si="30" ref="I240:I267">G240/$G$604*100</f>
        <v>0.025279054497701906</v>
      </c>
      <c r="J240" s="6"/>
      <c r="K240" s="11"/>
      <c r="L240" s="11"/>
    </row>
    <row r="241" spans="1:12" ht="14.25" customHeight="1">
      <c r="A241" s="134" t="s">
        <v>31</v>
      </c>
      <c r="B241" s="137"/>
      <c r="C241" s="71">
        <v>412500</v>
      </c>
      <c r="D241" s="98" t="s">
        <v>116</v>
      </c>
      <c r="E241" s="157">
        <v>7000</v>
      </c>
      <c r="F241" s="157">
        <f>G241-E241</f>
        <v>0</v>
      </c>
      <c r="G241" s="157">
        <v>7000</v>
      </c>
      <c r="H241" s="153">
        <f aca="true" t="shared" si="31" ref="H241:H267">G241/E241*100</f>
        <v>100</v>
      </c>
      <c r="I241" s="221">
        <f t="shared" si="30"/>
        <v>0.02298095863427446</v>
      </c>
      <c r="J241" s="6"/>
      <c r="K241" s="11"/>
      <c r="L241" s="11"/>
    </row>
    <row r="242" spans="1:12" ht="12.75" customHeight="1">
      <c r="A242" s="134" t="s">
        <v>23</v>
      </c>
      <c r="B242" s="137"/>
      <c r="C242" s="71">
        <v>412900</v>
      </c>
      <c r="D242" s="93" t="s">
        <v>0</v>
      </c>
      <c r="E242" s="157">
        <v>400</v>
      </c>
      <c r="F242" s="157">
        <f>G242-E242</f>
        <v>0</v>
      </c>
      <c r="G242" s="157">
        <v>400</v>
      </c>
      <c r="H242" s="153">
        <f t="shared" si="31"/>
        <v>100</v>
      </c>
      <c r="I242" s="221">
        <f t="shared" si="30"/>
        <v>0.0013131976362442547</v>
      </c>
      <c r="J242" s="6"/>
      <c r="K242" s="11"/>
      <c r="L242" s="11"/>
    </row>
    <row r="243" spans="1:12" ht="23.25" customHeight="1">
      <c r="A243" s="136" t="s">
        <v>32</v>
      </c>
      <c r="B243" s="137"/>
      <c r="C243" s="71">
        <v>412900</v>
      </c>
      <c r="D243" s="93" t="s">
        <v>104</v>
      </c>
      <c r="E243" s="157">
        <v>300</v>
      </c>
      <c r="F243" s="157">
        <f>G243-E243</f>
        <v>0</v>
      </c>
      <c r="G243" s="157">
        <v>300</v>
      </c>
      <c r="H243" s="153">
        <f t="shared" si="31"/>
        <v>100</v>
      </c>
      <c r="I243" s="221">
        <f t="shared" si="30"/>
        <v>0.0009848982271831912</v>
      </c>
      <c r="J243" s="6"/>
      <c r="K243" s="11"/>
      <c r="L243" s="11"/>
    </row>
    <row r="244" spans="1:12" ht="12.75" customHeight="1">
      <c r="A244" s="136"/>
      <c r="B244" s="160">
        <v>415000</v>
      </c>
      <c r="C244" s="71"/>
      <c r="D244" s="148" t="s">
        <v>133</v>
      </c>
      <c r="E244" s="188">
        <f>SUM(E245:E259)</f>
        <v>203000</v>
      </c>
      <c r="F244" s="188">
        <f>SUM(F245:F259)</f>
        <v>3900</v>
      </c>
      <c r="G244" s="188">
        <f>SUM(G245:G259)</f>
        <v>206900</v>
      </c>
      <c r="H244" s="150">
        <f t="shared" si="31"/>
        <v>101.92118226600985</v>
      </c>
      <c r="I244" s="151">
        <f t="shared" si="30"/>
        <v>0.6792514773473408</v>
      </c>
      <c r="J244" s="6"/>
      <c r="K244" s="11"/>
      <c r="L244" s="11"/>
    </row>
    <row r="245" spans="1:12" ht="12.75" customHeight="1">
      <c r="A245" s="134" t="s">
        <v>42</v>
      </c>
      <c r="B245" s="137"/>
      <c r="C245" s="71">
        <v>415200</v>
      </c>
      <c r="D245" s="98" t="s">
        <v>196</v>
      </c>
      <c r="E245" s="159">
        <v>90000</v>
      </c>
      <c r="F245" s="159">
        <f>G245-E245</f>
        <v>0</v>
      </c>
      <c r="G245" s="159">
        <v>90000</v>
      </c>
      <c r="H245" s="153">
        <f t="shared" si="31"/>
        <v>100</v>
      </c>
      <c r="I245" s="221">
        <f t="shared" si="30"/>
        <v>0.29546946815495734</v>
      </c>
      <c r="J245" s="6"/>
      <c r="K245" s="11"/>
      <c r="L245" s="11"/>
    </row>
    <row r="246" spans="1:12" ht="12.75" customHeight="1" hidden="1">
      <c r="A246" s="134" t="s">
        <v>42</v>
      </c>
      <c r="B246" s="137"/>
      <c r="C246" s="71">
        <v>415200</v>
      </c>
      <c r="D246" s="98" t="s">
        <v>474</v>
      </c>
      <c r="E246" s="159"/>
      <c r="F246" s="159">
        <f aca="true" t="shared" si="32" ref="F246:F258">G246-E246</f>
        <v>0</v>
      </c>
      <c r="G246" s="159"/>
      <c r="H246" s="153" t="e">
        <f t="shared" si="31"/>
        <v>#DIV/0!</v>
      </c>
      <c r="I246" s="221">
        <f t="shared" si="30"/>
        <v>0</v>
      </c>
      <c r="J246" s="6"/>
      <c r="K246" s="11"/>
      <c r="L246" s="11"/>
    </row>
    <row r="247" spans="1:12" ht="12" customHeight="1">
      <c r="A247" s="134" t="s">
        <v>42</v>
      </c>
      <c r="B247" s="137"/>
      <c r="C247" s="71">
        <v>415200</v>
      </c>
      <c r="D247" s="98" t="s">
        <v>702</v>
      </c>
      <c r="E247" s="159">
        <v>0</v>
      </c>
      <c r="F247" s="159">
        <f t="shared" si="32"/>
        <v>3900</v>
      </c>
      <c r="G247" s="159">
        <v>3900</v>
      </c>
      <c r="H247" s="153" t="e">
        <f t="shared" si="31"/>
        <v>#DIV/0!</v>
      </c>
      <c r="I247" s="221">
        <f t="shared" si="30"/>
        <v>0.012803676953381483</v>
      </c>
      <c r="J247" s="6"/>
      <c r="K247" s="11"/>
      <c r="L247" s="11"/>
    </row>
    <row r="248" spans="1:12" ht="12.75" customHeight="1">
      <c r="A248" s="134" t="s">
        <v>42</v>
      </c>
      <c r="B248" s="137"/>
      <c r="C248" s="71">
        <v>415200</v>
      </c>
      <c r="D248" s="93" t="s">
        <v>197</v>
      </c>
      <c r="E248" s="201">
        <v>20000</v>
      </c>
      <c r="F248" s="159">
        <f t="shared" si="32"/>
        <v>0</v>
      </c>
      <c r="G248" s="201">
        <v>20000</v>
      </c>
      <c r="H248" s="153">
        <f t="shared" si="31"/>
        <v>100</v>
      </c>
      <c r="I248" s="221">
        <f t="shared" si="30"/>
        <v>0.06565988181221273</v>
      </c>
      <c r="J248" s="6"/>
      <c r="K248" s="11"/>
      <c r="L248" s="11"/>
    </row>
    <row r="249" spans="1:12" ht="16.5" customHeight="1">
      <c r="A249" s="134" t="s">
        <v>42</v>
      </c>
      <c r="B249" s="137"/>
      <c r="C249" s="71">
        <v>415200</v>
      </c>
      <c r="D249" s="93" t="s">
        <v>198</v>
      </c>
      <c r="E249" s="159">
        <v>30000</v>
      </c>
      <c r="F249" s="159">
        <f t="shared" si="32"/>
        <v>0</v>
      </c>
      <c r="G249" s="159">
        <v>30000</v>
      </c>
      <c r="H249" s="153">
        <f t="shared" si="31"/>
        <v>100</v>
      </c>
      <c r="I249" s="221">
        <f t="shared" si="30"/>
        <v>0.0984898227183191</v>
      </c>
      <c r="J249" s="6"/>
      <c r="K249" s="11"/>
      <c r="L249" s="11"/>
    </row>
    <row r="250" spans="1:12" ht="13.5" customHeight="1">
      <c r="A250" s="134" t="s">
        <v>42</v>
      </c>
      <c r="B250" s="137"/>
      <c r="C250" s="71">
        <v>415200</v>
      </c>
      <c r="D250" s="93" t="s">
        <v>276</v>
      </c>
      <c r="E250" s="159">
        <v>5000</v>
      </c>
      <c r="F250" s="159">
        <f t="shared" si="32"/>
        <v>0</v>
      </c>
      <c r="G250" s="159">
        <v>5000</v>
      </c>
      <c r="H250" s="153">
        <f t="shared" si="31"/>
        <v>100</v>
      </c>
      <c r="I250" s="221">
        <f t="shared" si="30"/>
        <v>0.016414970453053183</v>
      </c>
      <c r="J250" s="6"/>
      <c r="K250" s="11"/>
      <c r="L250" s="11"/>
    </row>
    <row r="251" spans="1:12" ht="13.5" customHeight="1">
      <c r="A251" s="134" t="s">
        <v>42</v>
      </c>
      <c r="B251" s="137"/>
      <c r="C251" s="71">
        <v>415200</v>
      </c>
      <c r="D251" s="93" t="s">
        <v>199</v>
      </c>
      <c r="E251" s="159">
        <v>5000</v>
      </c>
      <c r="F251" s="159">
        <f t="shared" si="32"/>
        <v>0</v>
      </c>
      <c r="G251" s="159">
        <v>5000</v>
      </c>
      <c r="H251" s="153">
        <f t="shared" si="31"/>
        <v>100</v>
      </c>
      <c r="I251" s="221">
        <f t="shared" si="30"/>
        <v>0.016414970453053183</v>
      </c>
      <c r="J251" s="6"/>
      <c r="K251" s="11"/>
      <c r="L251" s="11"/>
    </row>
    <row r="252" spans="1:12" ht="13.5" customHeight="1" hidden="1">
      <c r="A252" s="134" t="s">
        <v>42</v>
      </c>
      <c r="B252" s="137"/>
      <c r="C252" s="71">
        <v>415200</v>
      </c>
      <c r="D252" s="93" t="s">
        <v>432</v>
      </c>
      <c r="E252" s="159"/>
      <c r="F252" s="159">
        <f t="shared" si="32"/>
        <v>0</v>
      </c>
      <c r="G252" s="159"/>
      <c r="H252" s="153" t="e">
        <f t="shared" si="31"/>
        <v>#DIV/0!</v>
      </c>
      <c r="I252" s="221">
        <f t="shared" si="30"/>
        <v>0</v>
      </c>
      <c r="J252" s="6"/>
      <c r="K252" s="11"/>
      <c r="L252" s="11"/>
    </row>
    <row r="253" spans="1:12" ht="13.5" customHeight="1">
      <c r="A253" s="134" t="s">
        <v>42</v>
      </c>
      <c r="B253" s="137"/>
      <c r="C253" s="71">
        <v>415200</v>
      </c>
      <c r="D253" s="93" t="s">
        <v>347</v>
      </c>
      <c r="E253" s="159">
        <v>5000</v>
      </c>
      <c r="F253" s="159">
        <f t="shared" si="32"/>
        <v>0</v>
      </c>
      <c r="G253" s="159">
        <v>5000</v>
      </c>
      <c r="H253" s="153">
        <f t="shared" si="31"/>
        <v>100</v>
      </c>
      <c r="I253" s="221">
        <f t="shared" si="30"/>
        <v>0.016414970453053183</v>
      </c>
      <c r="J253" s="6"/>
      <c r="K253" s="11"/>
      <c r="L253" s="11"/>
    </row>
    <row r="254" spans="1:12" ht="25.5">
      <c r="A254" s="134" t="s">
        <v>42</v>
      </c>
      <c r="B254" s="137"/>
      <c r="C254" s="71">
        <v>415200</v>
      </c>
      <c r="D254" s="93" t="s">
        <v>442</v>
      </c>
      <c r="E254" s="153">
        <v>1000</v>
      </c>
      <c r="F254" s="159">
        <f t="shared" si="32"/>
        <v>6500</v>
      </c>
      <c r="G254" s="153">
        <v>7500</v>
      </c>
      <c r="H254" s="153">
        <f t="shared" si="31"/>
        <v>750</v>
      </c>
      <c r="I254" s="221">
        <f t="shared" si="30"/>
        <v>0.024622455679579776</v>
      </c>
      <c r="J254" s="6"/>
      <c r="K254" s="11"/>
      <c r="L254" s="11"/>
    </row>
    <row r="255" spans="1:12" ht="38.25" customHeight="1" hidden="1">
      <c r="A255" s="134" t="s">
        <v>42</v>
      </c>
      <c r="B255" s="137"/>
      <c r="C255" s="71">
        <v>415200</v>
      </c>
      <c r="D255" s="93" t="s">
        <v>475</v>
      </c>
      <c r="E255" s="157"/>
      <c r="F255" s="159">
        <f t="shared" si="32"/>
        <v>0</v>
      </c>
      <c r="G255" s="157"/>
      <c r="H255" s="153" t="e">
        <f t="shared" si="31"/>
        <v>#DIV/0!</v>
      </c>
      <c r="I255" s="221">
        <f t="shared" si="30"/>
        <v>0</v>
      </c>
      <c r="J255" s="6"/>
      <c r="K255" s="11"/>
      <c r="L255" s="11"/>
    </row>
    <row r="256" spans="1:12" ht="25.5">
      <c r="A256" s="134" t="s">
        <v>42</v>
      </c>
      <c r="B256" s="137"/>
      <c r="C256" s="71">
        <v>415200</v>
      </c>
      <c r="D256" s="93" t="s">
        <v>236</v>
      </c>
      <c r="E256" s="157">
        <v>6500</v>
      </c>
      <c r="F256" s="159">
        <f t="shared" si="32"/>
        <v>-6500</v>
      </c>
      <c r="G256" s="157">
        <v>0</v>
      </c>
      <c r="H256" s="153">
        <f t="shared" si="31"/>
        <v>0</v>
      </c>
      <c r="I256" s="221">
        <f t="shared" si="30"/>
        <v>0</v>
      </c>
      <c r="J256" s="6"/>
      <c r="K256" s="11"/>
      <c r="L256" s="11"/>
    </row>
    <row r="257" spans="1:12" ht="24" customHeight="1">
      <c r="A257" s="136" t="s">
        <v>42</v>
      </c>
      <c r="B257" s="212"/>
      <c r="C257" s="82">
        <v>415200</v>
      </c>
      <c r="D257" s="130" t="s">
        <v>187</v>
      </c>
      <c r="E257" s="201">
        <v>40000</v>
      </c>
      <c r="F257" s="159">
        <f t="shared" si="32"/>
        <v>0</v>
      </c>
      <c r="G257" s="201">
        <v>40000</v>
      </c>
      <c r="H257" s="153">
        <f t="shared" si="31"/>
        <v>100</v>
      </c>
      <c r="I257" s="221">
        <f t="shared" si="30"/>
        <v>0.13131976362442546</v>
      </c>
      <c r="J257" s="6"/>
      <c r="K257" s="11"/>
      <c r="L257" s="11"/>
    </row>
    <row r="258" spans="1:12" ht="28.5" customHeight="1">
      <c r="A258" s="223" t="s">
        <v>42</v>
      </c>
      <c r="B258" s="212"/>
      <c r="C258" s="82">
        <v>415200</v>
      </c>
      <c r="D258" s="130" t="s">
        <v>302</v>
      </c>
      <c r="E258" s="157">
        <v>500</v>
      </c>
      <c r="F258" s="159">
        <f t="shared" si="32"/>
        <v>0</v>
      </c>
      <c r="G258" s="157">
        <v>500</v>
      </c>
      <c r="H258" s="153">
        <f t="shared" si="31"/>
        <v>100</v>
      </c>
      <c r="I258" s="221">
        <f t="shared" si="30"/>
        <v>0.0016414970453053185</v>
      </c>
      <c r="J258" s="6"/>
      <c r="K258" s="11"/>
      <c r="L258" s="11"/>
    </row>
    <row r="259" spans="1:12" ht="12.75" customHeight="1" hidden="1">
      <c r="A259" s="223" t="s">
        <v>42</v>
      </c>
      <c r="B259" s="212"/>
      <c r="C259" s="82">
        <v>415200</v>
      </c>
      <c r="D259" s="130" t="s">
        <v>433</v>
      </c>
      <c r="E259" s="157"/>
      <c r="F259" s="157"/>
      <c r="G259" s="157"/>
      <c r="H259" s="150" t="e">
        <f t="shared" si="31"/>
        <v>#DIV/0!</v>
      </c>
      <c r="I259" s="151">
        <f t="shared" si="30"/>
        <v>0</v>
      </c>
      <c r="J259" s="6"/>
      <c r="K259" s="11"/>
      <c r="L259" s="11"/>
    </row>
    <row r="260" spans="1:12" ht="14.25" customHeight="1">
      <c r="A260" s="223"/>
      <c r="B260" s="224">
        <v>416000</v>
      </c>
      <c r="C260" s="225"/>
      <c r="D260" s="214" t="s">
        <v>1</v>
      </c>
      <c r="E260" s="226">
        <f>SUM(E261:E262)</f>
        <v>45000</v>
      </c>
      <c r="F260" s="226">
        <f>SUM(F261:F262)</f>
        <v>0</v>
      </c>
      <c r="G260" s="226">
        <f>SUM(G261:G262)</f>
        <v>45000</v>
      </c>
      <c r="H260" s="150">
        <f t="shared" si="31"/>
        <v>100</v>
      </c>
      <c r="I260" s="151">
        <f t="shared" si="30"/>
        <v>0.14773473407747867</v>
      </c>
      <c r="J260" s="21"/>
      <c r="K260" s="12"/>
      <c r="L260" s="11"/>
    </row>
    <row r="261" spans="1:12" ht="13.5" customHeight="1">
      <c r="A261" s="223" t="s">
        <v>28</v>
      </c>
      <c r="B261" s="227"/>
      <c r="C261" s="82">
        <v>416100</v>
      </c>
      <c r="D261" s="130" t="s">
        <v>238</v>
      </c>
      <c r="E261" s="201">
        <v>45000</v>
      </c>
      <c r="F261" s="201">
        <f>G261-E261</f>
        <v>0</v>
      </c>
      <c r="G261" s="201">
        <v>45000</v>
      </c>
      <c r="H261" s="153">
        <f t="shared" si="31"/>
        <v>100</v>
      </c>
      <c r="I261" s="221">
        <f t="shared" si="30"/>
        <v>0.14773473407747867</v>
      </c>
      <c r="J261" s="21"/>
      <c r="K261" s="11"/>
      <c r="L261" s="11"/>
    </row>
    <row r="262" spans="1:12" ht="0.75" customHeight="1" hidden="1">
      <c r="A262" s="223" t="s">
        <v>28</v>
      </c>
      <c r="B262" s="227"/>
      <c r="C262" s="82">
        <v>416100</v>
      </c>
      <c r="D262" s="130" t="s">
        <v>476</v>
      </c>
      <c r="E262" s="201">
        <v>0</v>
      </c>
      <c r="F262" s="201">
        <v>0</v>
      </c>
      <c r="G262" s="201">
        <v>0</v>
      </c>
      <c r="H262" s="150" t="e">
        <f t="shared" si="31"/>
        <v>#DIV/0!</v>
      </c>
      <c r="I262" s="151">
        <f t="shared" si="30"/>
        <v>0</v>
      </c>
      <c r="J262" s="21"/>
      <c r="K262" s="11"/>
      <c r="L262" s="11"/>
    </row>
    <row r="263" spans="1:12" ht="17.25" customHeight="1">
      <c r="A263" s="134"/>
      <c r="B263" s="57">
        <v>487000</v>
      </c>
      <c r="C263" s="82"/>
      <c r="D263" s="148" t="s">
        <v>341</v>
      </c>
      <c r="E263" s="150">
        <f>SUM(E264)</f>
        <v>35000</v>
      </c>
      <c r="F263" s="150">
        <f>SUM(F264)</f>
        <v>0</v>
      </c>
      <c r="G263" s="150">
        <f>SUM(G264)</f>
        <v>35000</v>
      </c>
      <c r="H263" s="150">
        <f t="shared" si="31"/>
        <v>100</v>
      </c>
      <c r="I263" s="151">
        <f t="shared" si="30"/>
        <v>0.1149047931713723</v>
      </c>
      <c r="J263" s="6"/>
      <c r="K263" s="11"/>
      <c r="L263" s="11"/>
    </row>
    <row r="264" spans="1:12" ht="18.75" customHeight="1">
      <c r="A264" s="134" t="s">
        <v>28</v>
      </c>
      <c r="B264" s="57"/>
      <c r="C264" s="82">
        <v>487900</v>
      </c>
      <c r="D264" s="93" t="s">
        <v>628</v>
      </c>
      <c r="E264" s="157">
        <v>35000</v>
      </c>
      <c r="F264" s="157">
        <f>G264-E264</f>
        <v>0</v>
      </c>
      <c r="G264" s="157">
        <v>35000</v>
      </c>
      <c r="H264" s="153">
        <f t="shared" si="31"/>
        <v>100</v>
      </c>
      <c r="I264" s="221">
        <f t="shared" si="30"/>
        <v>0.1149047931713723</v>
      </c>
      <c r="J264" s="6"/>
      <c r="K264" s="11"/>
      <c r="L264" s="11"/>
    </row>
    <row r="265" spans="1:12" ht="13.5" customHeight="1" hidden="1">
      <c r="A265" s="134" t="s">
        <v>42</v>
      </c>
      <c r="B265" s="57"/>
      <c r="C265" s="82">
        <v>511100</v>
      </c>
      <c r="D265" s="93" t="s">
        <v>241</v>
      </c>
      <c r="E265" s="157"/>
      <c r="F265" s="157"/>
      <c r="G265" s="157"/>
      <c r="H265" s="150" t="e">
        <f t="shared" si="31"/>
        <v>#DIV/0!</v>
      </c>
      <c r="I265" s="151">
        <f t="shared" si="30"/>
        <v>0</v>
      </c>
      <c r="J265" s="6"/>
      <c r="K265" s="11"/>
      <c r="L265" s="11"/>
    </row>
    <row r="266" spans="1:12" ht="23.25" customHeight="1" hidden="1">
      <c r="A266" s="134" t="s">
        <v>42</v>
      </c>
      <c r="B266" s="57"/>
      <c r="C266" s="82">
        <v>511100</v>
      </c>
      <c r="D266" s="93" t="s">
        <v>405</v>
      </c>
      <c r="E266" s="157"/>
      <c r="F266" s="157"/>
      <c r="G266" s="157"/>
      <c r="H266" s="150" t="e">
        <f t="shared" si="31"/>
        <v>#DIV/0!</v>
      </c>
      <c r="I266" s="151">
        <f t="shared" si="30"/>
        <v>0</v>
      </c>
      <c r="J266" s="6"/>
      <c r="K266" s="11"/>
      <c r="L266" s="11"/>
    </row>
    <row r="267" spans="1:12" ht="27" customHeight="1">
      <c r="A267" s="515"/>
      <c r="B267" s="516"/>
      <c r="C267" s="507" t="s">
        <v>82</v>
      </c>
      <c r="D267" s="514"/>
      <c r="E267" s="172">
        <f>E240+E244+E260+E263</f>
        <v>290700</v>
      </c>
      <c r="F267" s="172">
        <f>F240+F244+F260+F263</f>
        <v>3900</v>
      </c>
      <c r="G267" s="172">
        <f>G240+G244+G260+G263</f>
        <v>294600</v>
      </c>
      <c r="H267" s="390">
        <f t="shared" si="31"/>
        <v>101.34158926728587</v>
      </c>
      <c r="I267" s="440">
        <f t="shared" si="30"/>
        <v>0.9671700590938936</v>
      </c>
      <c r="J267" s="6"/>
      <c r="K267" s="11"/>
      <c r="L267" s="11"/>
    </row>
    <row r="268" spans="1:12" ht="9.75" customHeight="1">
      <c r="A268" s="515"/>
      <c r="B268" s="516"/>
      <c r="C268" s="521" t="s">
        <v>582</v>
      </c>
      <c r="D268" s="513"/>
      <c r="E268" s="202"/>
      <c r="F268" s="202"/>
      <c r="G268" s="202"/>
      <c r="H268" s="202"/>
      <c r="I268" s="203"/>
      <c r="J268" s="6"/>
      <c r="K268" s="11"/>
      <c r="L268" s="11"/>
    </row>
    <row r="269" spans="1:12" ht="9.75" customHeight="1">
      <c r="A269" s="515"/>
      <c r="B269" s="516"/>
      <c r="C269" s="512"/>
      <c r="D269" s="513"/>
      <c r="E269" s="204"/>
      <c r="F269" s="204"/>
      <c r="G269" s="204"/>
      <c r="H269" s="204"/>
      <c r="I269" s="205"/>
      <c r="J269" s="6"/>
      <c r="K269" s="11"/>
      <c r="L269" s="11"/>
    </row>
    <row r="270" spans="1:12" ht="27.75" customHeight="1">
      <c r="A270" s="515"/>
      <c r="B270" s="516"/>
      <c r="C270" s="512"/>
      <c r="D270" s="513"/>
      <c r="E270" s="206"/>
      <c r="F270" s="206"/>
      <c r="G270" s="206"/>
      <c r="H270" s="206"/>
      <c r="I270" s="207"/>
      <c r="J270" s="6"/>
      <c r="K270" s="12"/>
      <c r="L270" s="11"/>
    </row>
    <row r="271" spans="1:12" ht="14.25" customHeight="1">
      <c r="A271" s="134"/>
      <c r="B271" s="57">
        <v>412000</v>
      </c>
      <c r="C271" s="137"/>
      <c r="D271" s="148" t="s">
        <v>119</v>
      </c>
      <c r="E271" s="150">
        <f>SUM(E272:E276)</f>
        <v>30000</v>
      </c>
      <c r="F271" s="150">
        <f>SUM(F272:F276)</f>
        <v>0</v>
      </c>
      <c r="G271" s="150">
        <f>SUM(G272:G276)</f>
        <v>30000</v>
      </c>
      <c r="H271" s="150">
        <f>G271/E271*100</f>
        <v>100</v>
      </c>
      <c r="I271" s="151">
        <f aca="true" t="shared" si="33" ref="I271:I277">G271/$G$604*100</f>
        <v>0.0984898227183191</v>
      </c>
      <c r="J271" s="6"/>
      <c r="K271" s="11"/>
      <c r="L271" s="11"/>
    </row>
    <row r="272" spans="1:12" ht="12.75">
      <c r="A272" s="134" t="s">
        <v>32</v>
      </c>
      <c r="B272" s="57"/>
      <c r="C272" s="71">
        <v>412700</v>
      </c>
      <c r="D272" s="130" t="s">
        <v>100</v>
      </c>
      <c r="E272" s="201">
        <v>13600</v>
      </c>
      <c r="F272" s="201">
        <f>G272-E272</f>
        <v>0</v>
      </c>
      <c r="G272" s="201">
        <v>13600</v>
      </c>
      <c r="H272" s="153">
        <f aca="true" t="shared" si="34" ref="H272:H277">G272/E272*100</f>
        <v>100</v>
      </c>
      <c r="I272" s="221">
        <f t="shared" si="33"/>
        <v>0.04464871963230466</v>
      </c>
      <c r="J272" s="6"/>
      <c r="K272" s="11"/>
      <c r="L272" s="11"/>
    </row>
    <row r="273" spans="1:12" ht="14.25" customHeight="1">
      <c r="A273" s="223" t="s">
        <v>32</v>
      </c>
      <c r="B273" s="212"/>
      <c r="C273" s="82">
        <v>412700</v>
      </c>
      <c r="D273" s="130" t="s">
        <v>113</v>
      </c>
      <c r="E273" s="201">
        <v>1000</v>
      </c>
      <c r="F273" s="201">
        <f>G273-E273</f>
        <v>0</v>
      </c>
      <c r="G273" s="201">
        <v>1000</v>
      </c>
      <c r="H273" s="153">
        <f t="shared" si="34"/>
        <v>100</v>
      </c>
      <c r="I273" s="221">
        <f t="shared" si="33"/>
        <v>0.003282994090610637</v>
      </c>
      <c r="J273" s="6"/>
      <c r="K273" s="11"/>
      <c r="L273" s="11"/>
    </row>
    <row r="274" spans="1:12" ht="24" customHeight="1">
      <c r="A274" s="223" t="s">
        <v>32</v>
      </c>
      <c r="B274" s="212"/>
      <c r="C274" s="102">
        <v>412700</v>
      </c>
      <c r="D274" s="98" t="s">
        <v>182</v>
      </c>
      <c r="E274" s="159">
        <v>12000</v>
      </c>
      <c r="F274" s="201">
        <f>G274-E274</f>
        <v>0</v>
      </c>
      <c r="G274" s="159">
        <v>12000</v>
      </c>
      <c r="H274" s="153">
        <f t="shared" si="34"/>
        <v>100</v>
      </c>
      <c r="I274" s="221">
        <f t="shared" si="33"/>
        <v>0.03939592908732764</v>
      </c>
      <c r="J274" s="6"/>
      <c r="K274" s="11"/>
      <c r="L274" s="11"/>
    </row>
    <row r="275" spans="1:12" ht="24.75" customHeight="1">
      <c r="A275" s="136" t="s">
        <v>162</v>
      </c>
      <c r="B275" s="137"/>
      <c r="C275" s="102">
        <v>412700</v>
      </c>
      <c r="D275" s="98" t="s">
        <v>477</v>
      </c>
      <c r="E275" s="159">
        <v>3000</v>
      </c>
      <c r="F275" s="201">
        <f>G275-E275</f>
        <v>0</v>
      </c>
      <c r="G275" s="159">
        <v>3000</v>
      </c>
      <c r="H275" s="153">
        <f t="shared" si="34"/>
        <v>100</v>
      </c>
      <c r="I275" s="221">
        <f t="shared" si="33"/>
        <v>0.00984898227183191</v>
      </c>
      <c r="J275" s="6"/>
      <c r="K275" s="11"/>
      <c r="L275" s="11"/>
    </row>
    <row r="276" spans="1:12" ht="12.75" customHeight="1">
      <c r="A276" s="134" t="s">
        <v>23</v>
      </c>
      <c r="B276" s="137"/>
      <c r="C276" s="71">
        <v>412900</v>
      </c>
      <c r="D276" s="93" t="s">
        <v>43</v>
      </c>
      <c r="E276" s="153">
        <v>400</v>
      </c>
      <c r="F276" s="201">
        <f>G276-E276</f>
        <v>0</v>
      </c>
      <c r="G276" s="153">
        <v>400</v>
      </c>
      <c r="H276" s="153">
        <f t="shared" si="34"/>
        <v>100</v>
      </c>
      <c r="I276" s="221">
        <f t="shared" si="33"/>
        <v>0.0013131976362442547</v>
      </c>
      <c r="J276" s="6"/>
      <c r="K276" s="11"/>
      <c r="L276" s="11"/>
    </row>
    <row r="277" spans="1:12" ht="27.75" customHeight="1">
      <c r="A277" s="515"/>
      <c r="B277" s="516"/>
      <c r="C277" s="507" t="s">
        <v>83</v>
      </c>
      <c r="D277" s="507"/>
      <c r="E277" s="172">
        <f>E271</f>
        <v>30000</v>
      </c>
      <c r="F277" s="172">
        <f>F271</f>
        <v>0</v>
      </c>
      <c r="G277" s="172">
        <f>G271</f>
        <v>30000</v>
      </c>
      <c r="H277" s="390">
        <f t="shared" si="34"/>
        <v>100</v>
      </c>
      <c r="I277" s="440">
        <f t="shared" si="33"/>
        <v>0.0984898227183191</v>
      </c>
      <c r="J277" s="6"/>
      <c r="K277" s="11"/>
      <c r="L277" s="11"/>
    </row>
    <row r="278" spans="1:12" ht="25.5" customHeight="1">
      <c r="A278" s="174"/>
      <c r="B278" s="175"/>
      <c r="C278" s="521" t="s">
        <v>581</v>
      </c>
      <c r="D278" s="513"/>
      <c r="E278" s="176"/>
      <c r="F278" s="176"/>
      <c r="G278" s="176"/>
      <c r="H278" s="176"/>
      <c r="I278" s="177"/>
      <c r="J278" s="6"/>
      <c r="K278" s="11"/>
      <c r="L278" s="11"/>
    </row>
    <row r="279" spans="1:12" ht="15" customHeight="1">
      <c r="A279" s="182"/>
      <c r="B279" s="183"/>
      <c r="C279" s="512"/>
      <c r="D279" s="513"/>
      <c r="E279" s="184"/>
      <c r="F279" s="184"/>
      <c r="G279" s="184"/>
      <c r="H279" s="184"/>
      <c r="I279" s="185"/>
      <c r="J279" s="6"/>
      <c r="K279" s="11"/>
      <c r="L279" s="11"/>
    </row>
    <row r="280" spans="1:12" ht="12.75">
      <c r="A280" s="134"/>
      <c r="B280" s="57">
        <v>412000</v>
      </c>
      <c r="C280" s="71"/>
      <c r="D280" s="148" t="s">
        <v>119</v>
      </c>
      <c r="E280" s="150">
        <f>SUM(E281:E289)</f>
        <v>377900</v>
      </c>
      <c r="F280" s="150">
        <f>SUM(F281:F289)</f>
        <v>23000</v>
      </c>
      <c r="G280" s="150">
        <f>SUM(G281:G289)</f>
        <v>400900</v>
      </c>
      <c r="H280" s="150">
        <f>G280/E280*100</f>
        <v>106.08626620799153</v>
      </c>
      <c r="I280" s="186">
        <f aca="true" t="shared" si="35" ref="I280:I295">G280/$G$604*100</f>
        <v>1.3161523309258043</v>
      </c>
      <c r="J280" s="6"/>
      <c r="K280" s="11"/>
      <c r="L280" s="11"/>
    </row>
    <row r="281" spans="1:12" ht="25.5" customHeight="1">
      <c r="A281" s="134" t="s">
        <v>23</v>
      </c>
      <c r="B281" s="137"/>
      <c r="C281" s="71">
        <v>412200</v>
      </c>
      <c r="D281" s="93" t="s">
        <v>121</v>
      </c>
      <c r="E281" s="159">
        <v>220000</v>
      </c>
      <c r="F281" s="159">
        <f>G281-E281</f>
        <v>20000</v>
      </c>
      <c r="G281" s="159">
        <v>240000</v>
      </c>
      <c r="H281" s="153">
        <f aca="true" t="shared" si="36" ref="H281:H295">G281/E281*100</f>
        <v>109.09090909090908</v>
      </c>
      <c r="I281" s="435">
        <f t="shared" si="35"/>
        <v>0.7879185817465528</v>
      </c>
      <c r="J281" s="6"/>
      <c r="K281" s="11"/>
      <c r="L281" s="11"/>
    </row>
    <row r="282" spans="1:12" ht="12.75">
      <c r="A282" s="134" t="s">
        <v>23</v>
      </c>
      <c r="B282" s="137"/>
      <c r="C282" s="71">
        <v>412300</v>
      </c>
      <c r="D282" s="137" t="s">
        <v>122</v>
      </c>
      <c r="E282" s="157">
        <v>50000</v>
      </c>
      <c r="F282" s="159">
        <f aca="true" t="shared" si="37" ref="F282:F288">G282-E282</f>
        <v>0</v>
      </c>
      <c r="G282" s="157">
        <v>50000</v>
      </c>
      <c r="H282" s="153">
        <f t="shared" si="36"/>
        <v>100</v>
      </c>
      <c r="I282" s="435">
        <f t="shared" si="35"/>
        <v>0.16414970453053185</v>
      </c>
      <c r="J282" s="6"/>
      <c r="K282" s="11"/>
      <c r="L282" s="11"/>
    </row>
    <row r="283" spans="1:12" ht="12.75">
      <c r="A283" s="134" t="s">
        <v>23</v>
      </c>
      <c r="B283" s="137"/>
      <c r="C283" s="71">
        <v>412500</v>
      </c>
      <c r="D283" s="137" t="s">
        <v>21</v>
      </c>
      <c r="E283" s="157">
        <v>31000</v>
      </c>
      <c r="F283" s="159">
        <f t="shared" si="37"/>
        <v>0</v>
      </c>
      <c r="G283" s="157">
        <v>31000</v>
      </c>
      <c r="H283" s="153">
        <f t="shared" si="36"/>
        <v>100</v>
      </c>
      <c r="I283" s="435">
        <f t="shared" si="35"/>
        <v>0.10177281680892973</v>
      </c>
      <c r="J283" s="6"/>
      <c r="K283" s="11"/>
      <c r="L283" s="11"/>
    </row>
    <row r="284" spans="1:12" ht="15.75" customHeight="1">
      <c r="A284" s="134" t="s">
        <v>23</v>
      </c>
      <c r="B284" s="137"/>
      <c r="C284" s="71">
        <v>412600</v>
      </c>
      <c r="D284" s="93" t="s">
        <v>454</v>
      </c>
      <c r="E284" s="157">
        <v>4000</v>
      </c>
      <c r="F284" s="159">
        <f t="shared" si="37"/>
        <v>3000</v>
      </c>
      <c r="G284" s="157">
        <v>7000</v>
      </c>
      <c r="H284" s="153">
        <f t="shared" si="36"/>
        <v>175</v>
      </c>
      <c r="I284" s="435">
        <f t="shared" si="35"/>
        <v>0.02298095863427446</v>
      </c>
      <c r="J284" s="6"/>
      <c r="K284" s="11"/>
      <c r="L284" s="11"/>
    </row>
    <row r="285" spans="1:12" ht="12.75">
      <c r="A285" s="134" t="s">
        <v>23</v>
      </c>
      <c r="B285" s="137"/>
      <c r="C285" s="71">
        <v>412700</v>
      </c>
      <c r="D285" s="93" t="s">
        <v>267</v>
      </c>
      <c r="E285" s="159">
        <v>65000</v>
      </c>
      <c r="F285" s="159">
        <f t="shared" si="37"/>
        <v>0</v>
      </c>
      <c r="G285" s="159">
        <v>65000</v>
      </c>
      <c r="H285" s="153">
        <f t="shared" si="36"/>
        <v>100</v>
      </c>
      <c r="I285" s="435">
        <f t="shared" si="35"/>
        <v>0.2133946158896914</v>
      </c>
      <c r="J285" s="6"/>
      <c r="K285" s="11"/>
      <c r="L285" s="11"/>
    </row>
    <row r="286" spans="1:12" ht="12.75">
      <c r="A286" s="134" t="s">
        <v>23</v>
      </c>
      <c r="B286" s="137"/>
      <c r="C286" s="71">
        <v>412900</v>
      </c>
      <c r="D286" s="93" t="s">
        <v>0</v>
      </c>
      <c r="E286" s="157">
        <v>400</v>
      </c>
      <c r="F286" s="159">
        <f t="shared" si="37"/>
        <v>0</v>
      </c>
      <c r="G286" s="157">
        <v>400</v>
      </c>
      <c r="H286" s="153">
        <f t="shared" si="36"/>
        <v>100</v>
      </c>
      <c r="I286" s="435">
        <f t="shared" si="35"/>
        <v>0.0013131976362442547</v>
      </c>
      <c r="J286" s="6"/>
      <c r="K286" s="11"/>
      <c r="L286" s="11"/>
    </row>
    <row r="287" spans="1:12" ht="12.75">
      <c r="A287" s="134" t="s">
        <v>23</v>
      </c>
      <c r="B287" s="137"/>
      <c r="C287" s="71">
        <v>412900</v>
      </c>
      <c r="D287" s="93" t="s">
        <v>266</v>
      </c>
      <c r="E287" s="159">
        <v>2500</v>
      </c>
      <c r="F287" s="159">
        <f t="shared" si="37"/>
        <v>0</v>
      </c>
      <c r="G287" s="159">
        <v>2500</v>
      </c>
      <c r="H287" s="153">
        <f t="shared" si="36"/>
        <v>100</v>
      </c>
      <c r="I287" s="435">
        <f t="shared" si="35"/>
        <v>0.008207485226526591</v>
      </c>
      <c r="J287" s="6"/>
      <c r="K287" s="11"/>
      <c r="L287" s="11"/>
    </row>
    <row r="288" spans="1:12" ht="14.25" customHeight="1">
      <c r="A288" s="134" t="s">
        <v>23</v>
      </c>
      <c r="B288" s="137"/>
      <c r="C288" s="71">
        <v>412900</v>
      </c>
      <c r="D288" s="93" t="s">
        <v>128</v>
      </c>
      <c r="E288" s="159">
        <v>5000</v>
      </c>
      <c r="F288" s="159">
        <f t="shared" si="37"/>
        <v>0</v>
      </c>
      <c r="G288" s="159">
        <v>5000</v>
      </c>
      <c r="H288" s="153">
        <f t="shared" si="36"/>
        <v>100</v>
      </c>
      <c r="I288" s="435">
        <f t="shared" si="35"/>
        <v>0.016414970453053183</v>
      </c>
      <c r="J288" s="6"/>
      <c r="K288" s="12"/>
      <c r="L288" s="11"/>
    </row>
    <row r="289" spans="1:12" ht="13.5" customHeight="1" hidden="1">
      <c r="A289" s="134" t="s">
        <v>23</v>
      </c>
      <c r="B289" s="137"/>
      <c r="C289" s="71">
        <v>412900</v>
      </c>
      <c r="D289" s="93" t="s">
        <v>478</v>
      </c>
      <c r="E289" s="159">
        <v>0</v>
      </c>
      <c r="F289" s="159">
        <v>0</v>
      </c>
      <c r="G289" s="159">
        <v>0</v>
      </c>
      <c r="H289" s="150" t="e">
        <f t="shared" si="36"/>
        <v>#DIV/0!</v>
      </c>
      <c r="I289" s="186">
        <f t="shared" si="35"/>
        <v>0</v>
      </c>
      <c r="J289" s="6"/>
      <c r="K289" s="11"/>
      <c r="L289" s="11"/>
    </row>
    <row r="290" spans="1:12" ht="19.5" customHeight="1">
      <c r="A290" s="134"/>
      <c r="B290" s="57">
        <v>511000</v>
      </c>
      <c r="C290" s="137"/>
      <c r="D290" s="148" t="s">
        <v>137</v>
      </c>
      <c r="E290" s="188">
        <f>SUM(E291:E292)</f>
        <v>95000</v>
      </c>
      <c r="F290" s="188">
        <f>SUM(F291:F292)</f>
        <v>0</v>
      </c>
      <c r="G290" s="188">
        <f>SUM(G291:G292)</f>
        <v>95000</v>
      </c>
      <c r="H290" s="150">
        <f t="shared" si="36"/>
        <v>100</v>
      </c>
      <c r="I290" s="186">
        <f t="shared" si="35"/>
        <v>0.3118844386080105</v>
      </c>
      <c r="J290" s="6"/>
      <c r="K290" s="11"/>
      <c r="L290" s="11"/>
    </row>
    <row r="291" spans="1:12" ht="0.75" customHeight="1" hidden="1">
      <c r="A291" s="134" t="s">
        <v>23</v>
      </c>
      <c r="B291" s="137"/>
      <c r="C291" s="212">
        <v>511200</v>
      </c>
      <c r="D291" s="130" t="s">
        <v>147</v>
      </c>
      <c r="E291" s="157">
        <v>0</v>
      </c>
      <c r="F291" s="157">
        <v>0</v>
      </c>
      <c r="G291" s="157">
        <v>0</v>
      </c>
      <c r="H291" s="150" t="e">
        <f t="shared" si="36"/>
        <v>#DIV/0!</v>
      </c>
      <c r="I291" s="186">
        <f t="shared" si="35"/>
        <v>0</v>
      </c>
      <c r="J291" s="6"/>
      <c r="K291" s="11"/>
      <c r="L291" s="11"/>
    </row>
    <row r="292" spans="1:12" ht="14.25" customHeight="1">
      <c r="A292" s="134" t="s">
        <v>23</v>
      </c>
      <c r="B292" s="137"/>
      <c r="C292" s="137">
        <v>511300</v>
      </c>
      <c r="D292" s="137" t="s">
        <v>2</v>
      </c>
      <c r="E292" s="159">
        <v>95000</v>
      </c>
      <c r="F292" s="159">
        <f>G292-E292</f>
        <v>0</v>
      </c>
      <c r="G292" s="159">
        <v>95000</v>
      </c>
      <c r="H292" s="153">
        <f t="shared" si="36"/>
        <v>100</v>
      </c>
      <c r="I292" s="435">
        <f t="shared" si="35"/>
        <v>0.3118844386080105</v>
      </c>
      <c r="J292" s="337"/>
      <c r="K292" s="11"/>
      <c r="L292" s="11"/>
    </row>
    <row r="293" spans="1:12" ht="15" customHeight="1">
      <c r="A293" s="134"/>
      <c r="B293" s="57">
        <v>516000</v>
      </c>
      <c r="C293" s="137"/>
      <c r="D293" s="148" t="s">
        <v>296</v>
      </c>
      <c r="E293" s="188">
        <f>SUM(E294)</f>
        <v>8000</v>
      </c>
      <c r="F293" s="188">
        <f>SUM(F294)</f>
        <v>2000</v>
      </c>
      <c r="G293" s="188">
        <f>SUM(G294)</f>
        <v>10000</v>
      </c>
      <c r="H293" s="150">
        <f t="shared" si="36"/>
        <v>125</v>
      </c>
      <c r="I293" s="186">
        <f t="shared" si="35"/>
        <v>0.032829940906106365</v>
      </c>
      <c r="J293" s="6"/>
      <c r="K293" s="11"/>
      <c r="L293" s="11"/>
    </row>
    <row r="294" spans="1:12" ht="12.75">
      <c r="A294" s="134" t="s">
        <v>23</v>
      </c>
      <c r="B294" s="137"/>
      <c r="C294" s="137">
        <v>516100</v>
      </c>
      <c r="D294" s="93" t="s">
        <v>242</v>
      </c>
      <c r="E294" s="159">
        <v>8000</v>
      </c>
      <c r="F294" s="159">
        <f>G294-E294</f>
        <v>2000</v>
      </c>
      <c r="G294" s="159">
        <v>10000</v>
      </c>
      <c r="H294" s="153">
        <f t="shared" si="36"/>
        <v>125</v>
      </c>
      <c r="I294" s="435">
        <f t="shared" si="35"/>
        <v>0.032829940906106365</v>
      </c>
      <c r="J294" s="6"/>
      <c r="K294" s="11"/>
      <c r="L294" s="11"/>
    </row>
    <row r="295" spans="1:12" ht="25.5" customHeight="1">
      <c r="A295" s="515"/>
      <c r="B295" s="516"/>
      <c r="C295" s="507" t="s">
        <v>85</v>
      </c>
      <c r="D295" s="514"/>
      <c r="E295" s="172">
        <f>E280+E290+E293</f>
        <v>480900</v>
      </c>
      <c r="F295" s="172">
        <f>F280+F290+F293</f>
        <v>25000</v>
      </c>
      <c r="G295" s="172">
        <f>G280+G290+G293</f>
        <v>505900</v>
      </c>
      <c r="H295" s="390">
        <f t="shared" si="36"/>
        <v>105.19858598461218</v>
      </c>
      <c r="I295" s="366">
        <f t="shared" si="35"/>
        <v>1.6608667104399213</v>
      </c>
      <c r="J295" s="6"/>
      <c r="K295" s="11"/>
      <c r="L295" s="11"/>
    </row>
    <row r="296" spans="1:12" ht="12.75">
      <c r="A296" s="178"/>
      <c r="B296" s="179"/>
      <c r="C296" s="556" t="s">
        <v>580</v>
      </c>
      <c r="D296" s="557"/>
      <c r="E296" s="180"/>
      <c r="F296" s="180"/>
      <c r="G296" s="180"/>
      <c r="H296" s="180"/>
      <c r="I296" s="181"/>
      <c r="J296" s="6"/>
      <c r="K296" s="11"/>
      <c r="L296" s="11"/>
    </row>
    <row r="297" spans="1:12" ht="12.75">
      <c r="A297" s="178"/>
      <c r="B297" s="179"/>
      <c r="C297" s="523"/>
      <c r="D297" s="522"/>
      <c r="E297" s="180"/>
      <c r="F297" s="180"/>
      <c r="G297" s="180"/>
      <c r="H297" s="180"/>
      <c r="I297" s="181"/>
      <c r="J297" s="6"/>
      <c r="K297" s="11"/>
      <c r="L297" s="11"/>
    </row>
    <row r="298" spans="1:12" ht="17.25" customHeight="1">
      <c r="A298" s="182"/>
      <c r="B298" s="183"/>
      <c r="C298" s="523"/>
      <c r="D298" s="522"/>
      <c r="E298" s="184"/>
      <c r="F298" s="184"/>
      <c r="G298" s="184"/>
      <c r="H298" s="184"/>
      <c r="I298" s="185"/>
      <c r="J298" s="6"/>
      <c r="K298" s="11"/>
      <c r="L298" s="11"/>
    </row>
    <row r="299" spans="1:12" ht="12.75">
      <c r="A299" s="228"/>
      <c r="B299" s="195" t="s">
        <v>357</v>
      </c>
      <c r="C299" s="95"/>
      <c r="D299" s="65" t="s">
        <v>119</v>
      </c>
      <c r="E299" s="229">
        <f>SUM(E300:E301)</f>
        <v>19000</v>
      </c>
      <c r="F299" s="229">
        <f>SUM(F300:F301)</f>
        <v>21000</v>
      </c>
      <c r="G299" s="229">
        <f>SUM(G300:G301)</f>
        <v>40000</v>
      </c>
      <c r="H299" s="230">
        <f>G299/E299*100</f>
        <v>210.52631578947367</v>
      </c>
      <c r="I299" s="231">
        <f aca="true" t="shared" si="38" ref="I299:I306">G299/$G$604*100</f>
        <v>0.13131976362442546</v>
      </c>
      <c r="J299" s="6"/>
      <c r="K299" s="11"/>
      <c r="L299" s="11"/>
    </row>
    <row r="300" spans="1:12" ht="12.75">
      <c r="A300" s="134" t="s">
        <v>23</v>
      </c>
      <c r="B300" s="195"/>
      <c r="C300" s="101">
        <v>412700</v>
      </c>
      <c r="D300" s="72" t="s">
        <v>126</v>
      </c>
      <c r="E300" s="233">
        <v>18000</v>
      </c>
      <c r="F300" s="233">
        <f>G300-E300</f>
        <v>21000</v>
      </c>
      <c r="G300" s="233">
        <v>39000</v>
      </c>
      <c r="H300" s="198">
        <f aca="true" t="shared" si="39" ref="H300:H306">G300/E300*100</f>
        <v>216.66666666666666</v>
      </c>
      <c r="I300" s="436">
        <f t="shared" si="38"/>
        <v>0.12803676953381482</v>
      </c>
      <c r="J300" s="6"/>
      <c r="K300" s="12"/>
      <c r="L300" s="11"/>
    </row>
    <row r="301" spans="1:12" ht="25.5">
      <c r="A301" s="134" t="s">
        <v>23</v>
      </c>
      <c r="B301" s="195"/>
      <c r="C301" s="101">
        <v>412900</v>
      </c>
      <c r="D301" s="80" t="s">
        <v>444</v>
      </c>
      <c r="E301" s="232">
        <v>1000</v>
      </c>
      <c r="F301" s="233">
        <f>G301-E301</f>
        <v>0</v>
      </c>
      <c r="G301" s="232">
        <v>1000</v>
      </c>
      <c r="H301" s="198">
        <f t="shared" si="39"/>
        <v>100</v>
      </c>
      <c r="I301" s="436">
        <f t="shared" si="38"/>
        <v>0.003282994090610637</v>
      </c>
      <c r="J301" s="6"/>
      <c r="K301" s="11"/>
      <c r="L301" s="11"/>
    </row>
    <row r="302" spans="1:12" ht="12.75">
      <c r="A302" s="134"/>
      <c r="B302" s="195" t="s">
        <v>366</v>
      </c>
      <c r="C302" s="95"/>
      <c r="D302" s="65" t="s">
        <v>309</v>
      </c>
      <c r="E302" s="229">
        <f>SUM(E303:E303)</f>
        <v>150000</v>
      </c>
      <c r="F302" s="229">
        <f>SUM(F303:F303)</f>
        <v>-25900</v>
      </c>
      <c r="G302" s="229">
        <f>SUM(G303:G303)</f>
        <v>124100</v>
      </c>
      <c r="H302" s="230">
        <f t="shared" si="39"/>
        <v>82.73333333333333</v>
      </c>
      <c r="I302" s="231">
        <f t="shared" si="38"/>
        <v>0.4074195666447801</v>
      </c>
      <c r="J302" s="6"/>
      <c r="K302" s="11"/>
      <c r="L302" s="11"/>
    </row>
    <row r="303" spans="1:12" ht="15.75" customHeight="1">
      <c r="A303" s="134" t="s">
        <v>23</v>
      </c>
      <c r="B303" s="195"/>
      <c r="C303" s="101">
        <v>419100</v>
      </c>
      <c r="D303" s="80" t="s">
        <v>368</v>
      </c>
      <c r="E303" s="333">
        <v>150000</v>
      </c>
      <c r="F303" s="333">
        <f>G303-E303</f>
        <v>-25900</v>
      </c>
      <c r="G303" s="333">
        <v>124100</v>
      </c>
      <c r="H303" s="198">
        <f t="shared" si="39"/>
        <v>82.73333333333333</v>
      </c>
      <c r="I303" s="436">
        <f t="shared" si="38"/>
        <v>0.4074195666447801</v>
      </c>
      <c r="J303" s="337"/>
      <c r="K303" s="11"/>
      <c r="L303" s="11"/>
    </row>
    <row r="304" spans="1:12" ht="12.75">
      <c r="A304" s="134"/>
      <c r="B304" s="195" t="s">
        <v>367</v>
      </c>
      <c r="C304" s="95"/>
      <c r="D304" s="65" t="s">
        <v>164</v>
      </c>
      <c r="E304" s="229">
        <f>SUM(E305)</f>
        <v>150000</v>
      </c>
      <c r="F304" s="229">
        <f>SUM(F305)</f>
        <v>0</v>
      </c>
      <c r="G304" s="229">
        <f>SUM(G305)</f>
        <v>150000</v>
      </c>
      <c r="H304" s="230">
        <f t="shared" si="39"/>
        <v>100</v>
      </c>
      <c r="I304" s="231">
        <f t="shared" si="38"/>
        <v>0.4924491135915955</v>
      </c>
      <c r="J304" s="6"/>
      <c r="K304" s="11"/>
      <c r="L304" s="11"/>
    </row>
    <row r="305" spans="1:12" ht="15.75" customHeight="1">
      <c r="A305" s="134" t="s">
        <v>23</v>
      </c>
      <c r="B305" s="234"/>
      <c r="C305" s="235">
        <v>513100</v>
      </c>
      <c r="D305" s="171" t="s">
        <v>230</v>
      </c>
      <c r="E305" s="73">
        <v>150000</v>
      </c>
      <c r="F305" s="73">
        <f>G305-E305</f>
        <v>0</v>
      </c>
      <c r="G305" s="73">
        <v>150000</v>
      </c>
      <c r="H305" s="198">
        <f t="shared" si="39"/>
        <v>100</v>
      </c>
      <c r="I305" s="436">
        <f t="shared" si="38"/>
        <v>0.4924491135915955</v>
      </c>
      <c r="J305" s="6"/>
      <c r="K305" s="11"/>
      <c r="L305" s="11"/>
    </row>
    <row r="306" spans="1:12" ht="25.5" customHeight="1">
      <c r="A306" s="134"/>
      <c r="B306" s="234"/>
      <c r="C306" s="507" t="s">
        <v>404</v>
      </c>
      <c r="D306" s="507"/>
      <c r="E306" s="236">
        <f>E299+E303+E304</f>
        <v>319000</v>
      </c>
      <c r="F306" s="236">
        <f>F299+F303+F304</f>
        <v>-4900</v>
      </c>
      <c r="G306" s="236">
        <f>G299+G303+G304</f>
        <v>314100</v>
      </c>
      <c r="H306" s="364">
        <f t="shared" si="39"/>
        <v>98.4639498432602</v>
      </c>
      <c r="I306" s="442">
        <f t="shared" si="38"/>
        <v>1.0311884438608012</v>
      </c>
      <c r="J306" s="6"/>
      <c r="K306" s="11"/>
      <c r="L306" s="11"/>
    </row>
    <row r="307" spans="1:12" ht="9.75" customHeight="1">
      <c r="A307" s="519"/>
      <c r="B307" s="520"/>
      <c r="C307" s="521" t="s">
        <v>579</v>
      </c>
      <c r="D307" s="513"/>
      <c r="E307" s="202"/>
      <c r="F307" s="202"/>
      <c r="G307" s="202"/>
      <c r="H307" s="202"/>
      <c r="I307" s="203"/>
      <c r="J307" s="6"/>
      <c r="K307" s="11"/>
      <c r="L307" s="11"/>
    </row>
    <row r="308" spans="1:12" ht="9.75" customHeight="1">
      <c r="A308" s="519"/>
      <c r="B308" s="520"/>
      <c r="C308" s="512"/>
      <c r="D308" s="513"/>
      <c r="E308" s="204"/>
      <c r="F308" s="204"/>
      <c r="G308" s="204"/>
      <c r="H308" s="204"/>
      <c r="I308" s="205"/>
      <c r="J308" s="6"/>
      <c r="K308" s="11"/>
      <c r="L308" s="11"/>
    </row>
    <row r="309" spans="1:12" ht="30" customHeight="1">
      <c r="A309" s="519"/>
      <c r="B309" s="520"/>
      <c r="C309" s="512"/>
      <c r="D309" s="513"/>
      <c r="E309" s="206"/>
      <c r="F309" s="206"/>
      <c r="G309" s="206"/>
      <c r="H309" s="206"/>
      <c r="I309" s="207"/>
      <c r="J309" s="6"/>
      <c r="K309" s="11"/>
      <c r="L309" s="11"/>
    </row>
    <row r="310" spans="1:12" ht="14.25" customHeight="1">
      <c r="A310" s="134"/>
      <c r="B310" s="57">
        <v>412000</v>
      </c>
      <c r="C310" s="71"/>
      <c r="D310" s="148" t="s">
        <v>119</v>
      </c>
      <c r="E310" s="150">
        <f>SUM(E311:E314)</f>
        <v>42400</v>
      </c>
      <c r="F310" s="150">
        <f>SUM(F311:F314)</f>
        <v>0</v>
      </c>
      <c r="G310" s="150">
        <f>SUM(G311:G314)</f>
        <v>42400</v>
      </c>
      <c r="H310" s="150">
        <f>G310/E310*100</f>
        <v>100</v>
      </c>
      <c r="I310" s="186">
        <f aca="true" t="shared" si="40" ref="I310:I331">G310/$G$604*100</f>
        <v>0.139198949441891</v>
      </c>
      <c r="J310" s="6"/>
      <c r="K310" s="11"/>
      <c r="L310" s="11"/>
    </row>
    <row r="311" spans="1:12" ht="12.75">
      <c r="A311" s="136" t="s">
        <v>45</v>
      </c>
      <c r="B311" s="137"/>
      <c r="C311" s="102">
        <v>412700</v>
      </c>
      <c r="D311" s="137" t="s">
        <v>44</v>
      </c>
      <c r="E311" s="159">
        <v>3000</v>
      </c>
      <c r="F311" s="159">
        <f>G311-E311</f>
        <v>0</v>
      </c>
      <c r="G311" s="159">
        <v>3000</v>
      </c>
      <c r="H311" s="153">
        <f aca="true" t="shared" si="41" ref="H311:H331">G311/E311*100</f>
        <v>100</v>
      </c>
      <c r="I311" s="435">
        <f t="shared" si="40"/>
        <v>0.00984898227183191</v>
      </c>
      <c r="J311" s="6"/>
      <c r="K311" s="11"/>
      <c r="L311" s="11"/>
    </row>
    <row r="312" spans="1:12" ht="12.75">
      <c r="A312" s="134" t="s">
        <v>45</v>
      </c>
      <c r="B312" s="137"/>
      <c r="C312" s="102">
        <v>412700</v>
      </c>
      <c r="D312" s="93" t="s">
        <v>101</v>
      </c>
      <c r="E312" s="157">
        <v>39000</v>
      </c>
      <c r="F312" s="159">
        <f>G312-E312</f>
        <v>0</v>
      </c>
      <c r="G312" s="157">
        <v>39000</v>
      </c>
      <c r="H312" s="153">
        <f t="shared" si="41"/>
        <v>100</v>
      </c>
      <c r="I312" s="435">
        <f t="shared" si="40"/>
        <v>0.12803676953381482</v>
      </c>
      <c r="J312" s="6"/>
      <c r="K312" s="11"/>
      <c r="L312" s="11"/>
    </row>
    <row r="313" spans="1:12" ht="12.75" customHeight="1" hidden="1">
      <c r="A313" s="134" t="s">
        <v>287</v>
      </c>
      <c r="B313" s="137"/>
      <c r="C313" s="102">
        <v>412700</v>
      </c>
      <c r="D313" s="93" t="s">
        <v>291</v>
      </c>
      <c r="E313" s="157"/>
      <c r="F313" s="159">
        <f>G313-E313</f>
        <v>0</v>
      </c>
      <c r="G313" s="157"/>
      <c r="H313" s="153" t="e">
        <f t="shared" si="41"/>
        <v>#DIV/0!</v>
      </c>
      <c r="I313" s="435">
        <f t="shared" si="40"/>
        <v>0</v>
      </c>
      <c r="J313" s="6"/>
      <c r="K313" s="11"/>
      <c r="L313" s="11"/>
    </row>
    <row r="314" spans="1:12" ht="12.75">
      <c r="A314" s="134" t="s">
        <v>23</v>
      </c>
      <c r="B314" s="137"/>
      <c r="C314" s="71">
        <v>412900</v>
      </c>
      <c r="D314" s="208" t="s">
        <v>0</v>
      </c>
      <c r="E314" s="157">
        <v>400</v>
      </c>
      <c r="F314" s="159">
        <f>G314-E314</f>
        <v>0</v>
      </c>
      <c r="G314" s="157">
        <v>400</v>
      </c>
      <c r="H314" s="153">
        <f t="shared" si="41"/>
        <v>100</v>
      </c>
      <c r="I314" s="435">
        <f t="shared" si="40"/>
        <v>0.0013131976362442547</v>
      </c>
      <c r="J314" s="6"/>
      <c r="K314" s="11"/>
      <c r="L314" s="11"/>
    </row>
    <row r="315" spans="1:12" ht="14.25" customHeight="1">
      <c r="A315" s="134"/>
      <c r="B315" s="57">
        <v>414000</v>
      </c>
      <c r="C315" s="102"/>
      <c r="D315" s="237" t="s">
        <v>174</v>
      </c>
      <c r="E315" s="188">
        <f>SUM(E316:E317)</f>
        <v>510000</v>
      </c>
      <c r="F315" s="188">
        <f>SUM(F316:F317)</f>
        <v>40000</v>
      </c>
      <c r="G315" s="188">
        <f>SUM(G316:G317)</f>
        <v>550000</v>
      </c>
      <c r="H315" s="150">
        <f t="shared" si="41"/>
        <v>107.84313725490196</v>
      </c>
      <c r="I315" s="186">
        <f t="shared" si="40"/>
        <v>1.8056467498358504</v>
      </c>
      <c r="J315" s="6"/>
      <c r="K315" s="11"/>
      <c r="L315" s="11"/>
    </row>
    <row r="316" spans="1:12" ht="18" customHeight="1">
      <c r="A316" s="134" t="s">
        <v>45</v>
      </c>
      <c r="B316" s="137"/>
      <c r="C316" s="102">
        <v>414100</v>
      </c>
      <c r="D316" s="171" t="s">
        <v>175</v>
      </c>
      <c r="E316" s="159">
        <v>510000</v>
      </c>
      <c r="F316" s="159">
        <f>G316-E316</f>
        <v>40000</v>
      </c>
      <c r="G316" s="159">
        <v>550000</v>
      </c>
      <c r="H316" s="153">
        <f t="shared" si="41"/>
        <v>107.84313725490196</v>
      </c>
      <c r="I316" s="435">
        <f t="shared" si="40"/>
        <v>1.8056467498358504</v>
      </c>
      <c r="J316" s="6"/>
      <c r="K316" s="11"/>
      <c r="L316" s="11"/>
    </row>
    <row r="317" spans="1:12" ht="9.75" customHeight="1" hidden="1">
      <c r="A317" s="134" t="s">
        <v>45</v>
      </c>
      <c r="B317" s="137"/>
      <c r="C317" s="102">
        <v>414100</v>
      </c>
      <c r="D317" s="171" t="s">
        <v>440</v>
      </c>
      <c r="E317" s="159">
        <v>0</v>
      </c>
      <c r="F317" s="159">
        <f>G317-E317</f>
        <v>0</v>
      </c>
      <c r="G317" s="159">
        <v>0</v>
      </c>
      <c r="H317" s="153" t="e">
        <f t="shared" si="41"/>
        <v>#DIV/0!</v>
      </c>
      <c r="I317" s="435">
        <f t="shared" si="40"/>
        <v>0</v>
      </c>
      <c r="J317" s="337"/>
      <c r="K317" s="11"/>
      <c r="L317" s="11"/>
    </row>
    <row r="318" spans="1:12" ht="15.75" customHeight="1">
      <c r="A318" s="134"/>
      <c r="B318" s="419">
        <v>415000</v>
      </c>
      <c r="C318" s="102"/>
      <c r="D318" s="382" t="s">
        <v>133</v>
      </c>
      <c r="E318" s="420">
        <f>SUM(E319)</f>
        <v>40000</v>
      </c>
      <c r="F318" s="420">
        <f>SUM(F319)</f>
        <v>0</v>
      </c>
      <c r="G318" s="420">
        <f>SUM(G319)</f>
        <v>40000</v>
      </c>
      <c r="H318" s="150">
        <f t="shared" si="41"/>
        <v>100</v>
      </c>
      <c r="I318" s="186">
        <f t="shared" si="40"/>
        <v>0.13131976362442546</v>
      </c>
      <c r="J318" s="337"/>
      <c r="K318" s="11"/>
      <c r="L318" s="11"/>
    </row>
    <row r="319" spans="1:12" ht="15.75" customHeight="1">
      <c r="A319" s="134" t="s">
        <v>45</v>
      </c>
      <c r="B319" s="137"/>
      <c r="C319" s="102">
        <v>415200</v>
      </c>
      <c r="D319" s="380" t="s">
        <v>625</v>
      </c>
      <c r="E319" s="159">
        <v>40000</v>
      </c>
      <c r="F319" s="159">
        <f>G319-E319</f>
        <v>0</v>
      </c>
      <c r="G319" s="159">
        <v>40000</v>
      </c>
      <c r="H319" s="153">
        <f t="shared" si="41"/>
        <v>100</v>
      </c>
      <c r="I319" s="435">
        <f t="shared" si="40"/>
        <v>0.13131976362442546</v>
      </c>
      <c r="J319" s="337"/>
      <c r="K319" s="11"/>
      <c r="L319" s="11"/>
    </row>
    <row r="320" spans="1:12" ht="14.25" customHeight="1">
      <c r="A320" s="134"/>
      <c r="B320" s="57">
        <v>416000</v>
      </c>
      <c r="C320" s="102"/>
      <c r="D320" s="148" t="s">
        <v>1</v>
      </c>
      <c r="E320" s="238">
        <f>SUM(E321:E321)</f>
        <v>4000</v>
      </c>
      <c r="F320" s="238">
        <f>SUM(F321:F321)</f>
        <v>0</v>
      </c>
      <c r="G320" s="238">
        <f>SUM(G321:G321)</f>
        <v>4000</v>
      </c>
      <c r="H320" s="150">
        <f t="shared" si="41"/>
        <v>100</v>
      </c>
      <c r="I320" s="186">
        <f t="shared" si="40"/>
        <v>0.013131976362442548</v>
      </c>
      <c r="J320" s="6"/>
      <c r="K320" s="11"/>
      <c r="L320" s="11"/>
    </row>
    <row r="321" spans="1:12" ht="12.75">
      <c r="A321" s="134" t="s">
        <v>45</v>
      </c>
      <c r="B321" s="137"/>
      <c r="C321" s="82">
        <v>416100</v>
      </c>
      <c r="D321" s="93" t="s">
        <v>178</v>
      </c>
      <c r="E321" s="159">
        <v>4000</v>
      </c>
      <c r="F321" s="159">
        <f>G321-E321</f>
        <v>0</v>
      </c>
      <c r="G321" s="159">
        <v>4000</v>
      </c>
      <c r="H321" s="153">
        <f t="shared" si="41"/>
        <v>100</v>
      </c>
      <c r="I321" s="435">
        <f t="shared" si="40"/>
        <v>0.013131976362442548</v>
      </c>
      <c r="J321" s="6"/>
      <c r="K321" s="11"/>
      <c r="L321" s="11"/>
    </row>
    <row r="322" spans="1:12" ht="25.5">
      <c r="A322" s="134"/>
      <c r="B322" s="137"/>
      <c r="C322" s="82"/>
      <c r="D322" s="148" t="s">
        <v>303</v>
      </c>
      <c r="E322" s="239">
        <f>SUM(E323:E324)</f>
        <v>226000</v>
      </c>
      <c r="F322" s="239">
        <f>SUM(F323:F324)</f>
        <v>0</v>
      </c>
      <c r="G322" s="239">
        <f>SUM(G323:G324)</f>
        <v>226000</v>
      </c>
      <c r="H322" s="150">
        <f t="shared" si="41"/>
        <v>100</v>
      </c>
      <c r="I322" s="186">
        <f t="shared" si="40"/>
        <v>0.7419566644780039</v>
      </c>
      <c r="J322" s="6"/>
      <c r="K322" s="11"/>
      <c r="L322" s="11"/>
    </row>
    <row r="323" spans="1:12" ht="14.25" customHeight="1">
      <c r="A323" s="134" t="s">
        <v>39</v>
      </c>
      <c r="B323" s="137"/>
      <c r="C323" s="82">
        <v>412500</v>
      </c>
      <c r="D323" s="93" t="s">
        <v>407</v>
      </c>
      <c r="E323" s="157">
        <v>50000</v>
      </c>
      <c r="F323" s="157">
        <f>G323-E323</f>
        <v>0</v>
      </c>
      <c r="G323" s="157">
        <v>50000</v>
      </c>
      <c r="H323" s="153">
        <f t="shared" si="41"/>
        <v>100</v>
      </c>
      <c r="I323" s="435">
        <f t="shared" si="40"/>
        <v>0.16414970453053185</v>
      </c>
      <c r="J323" s="6"/>
      <c r="K323" s="11"/>
      <c r="L323" s="11"/>
    </row>
    <row r="324" spans="1:12" ht="25.5">
      <c r="A324" s="134" t="s">
        <v>39</v>
      </c>
      <c r="B324" s="137"/>
      <c r="C324" s="82">
        <v>511200</v>
      </c>
      <c r="D324" s="93" t="s">
        <v>489</v>
      </c>
      <c r="E324" s="157">
        <v>176000</v>
      </c>
      <c r="F324" s="157">
        <f>G324-E324</f>
        <v>0</v>
      </c>
      <c r="G324" s="157">
        <v>176000</v>
      </c>
      <c r="H324" s="153">
        <f t="shared" si="41"/>
        <v>100</v>
      </c>
      <c r="I324" s="435">
        <f t="shared" si="40"/>
        <v>0.5778069599474721</v>
      </c>
      <c r="J324" s="6"/>
      <c r="K324" s="12"/>
      <c r="L324" s="11"/>
    </row>
    <row r="325" spans="1:12" ht="26.25" customHeight="1">
      <c r="A325" s="134"/>
      <c r="B325" s="137"/>
      <c r="C325" s="90"/>
      <c r="D325" s="148" t="s">
        <v>110</v>
      </c>
      <c r="E325" s="188">
        <f>SUM(E326:E330)</f>
        <v>225000</v>
      </c>
      <c r="F325" s="188">
        <f>SUM(F326:F330)</f>
        <v>0</v>
      </c>
      <c r="G325" s="188">
        <f>SUM(G326:G330)</f>
        <v>225000</v>
      </c>
      <c r="H325" s="150">
        <f t="shared" si="41"/>
        <v>100</v>
      </c>
      <c r="I325" s="186">
        <f t="shared" si="40"/>
        <v>0.7386736703873933</v>
      </c>
      <c r="J325" s="6"/>
      <c r="K325" s="11"/>
      <c r="L325" s="11"/>
    </row>
    <row r="326" spans="1:12" ht="14.25" customHeight="1">
      <c r="A326" s="136" t="s">
        <v>161</v>
      </c>
      <c r="B326" s="137"/>
      <c r="C326" s="102">
        <v>412700</v>
      </c>
      <c r="D326" s="93" t="s">
        <v>111</v>
      </c>
      <c r="E326" s="159">
        <v>5000</v>
      </c>
      <c r="F326" s="159">
        <f>G326-E326</f>
        <v>0</v>
      </c>
      <c r="G326" s="159">
        <v>5000</v>
      </c>
      <c r="H326" s="153">
        <f t="shared" si="41"/>
        <v>100</v>
      </c>
      <c r="I326" s="435">
        <f t="shared" si="40"/>
        <v>0.016414970453053183</v>
      </c>
      <c r="J326" s="6"/>
      <c r="K326" s="11"/>
      <c r="L326" s="11"/>
    </row>
    <row r="327" spans="1:12" ht="12.75">
      <c r="A327" s="136" t="s">
        <v>45</v>
      </c>
      <c r="B327" s="137"/>
      <c r="C327" s="82">
        <v>412800</v>
      </c>
      <c r="D327" s="93" t="s">
        <v>271</v>
      </c>
      <c r="E327" s="159">
        <v>10000</v>
      </c>
      <c r="F327" s="159">
        <f>G327-E327</f>
        <v>0</v>
      </c>
      <c r="G327" s="159">
        <v>10000</v>
      </c>
      <c r="H327" s="153">
        <f t="shared" si="41"/>
        <v>100</v>
      </c>
      <c r="I327" s="435">
        <f t="shared" si="40"/>
        <v>0.032829940906106365</v>
      </c>
      <c r="J327" s="6"/>
      <c r="K327" s="11"/>
      <c r="L327" s="11"/>
    </row>
    <row r="328" spans="1:12" ht="6" customHeight="1" hidden="1">
      <c r="A328" s="136" t="s">
        <v>159</v>
      </c>
      <c r="B328" s="137"/>
      <c r="C328" s="82">
        <v>415200</v>
      </c>
      <c r="D328" s="98" t="s">
        <v>388</v>
      </c>
      <c r="E328" s="159"/>
      <c r="F328" s="159">
        <f>G328-E328</f>
        <v>0</v>
      </c>
      <c r="G328" s="159"/>
      <c r="H328" s="153" t="e">
        <f t="shared" si="41"/>
        <v>#DIV/0!</v>
      </c>
      <c r="I328" s="435">
        <f t="shared" si="40"/>
        <v>0</v>
      </c>
      <c r="J328" s="6"/>
      <c r="K328" s="11"/>
      <c r="L328" s="11"/>
    </row>
    <row r="329" spans="1:12" ht="15.75" customHeight="1">
      <c r="A329" s="240" t="s">
        <v>159</v>
      </c>
      <c r="B329" s="137"/>
      <c r="C329" s="82">
        <v>415200</v>
      </c>
      <c r="D329" s="130" t="s">
        <v>450</v>
      </c>
      <c r="E329" s="159">
        <v>25000</v>
      </c>
      <c r="F329" s="159">
        <f>G329-E329</f>
        <v>0</v>
      </c>
      <c r="G329" s="159">
        <v>25000</v>
      </c>
      <c r="H329" s="153">
        <f t="shared" si="41"/>
        <v>100</v>
      </c>
      <c r="I329" s="435">
        <f t="shared" si="40"/>
        <v>0.08207485226526592</v>
      </c>
      <c r="J329" s="6"/>
      <c r="K329" s="11"/>
      <c r="L329" s="11"/>
    </row>
    <row r="330" spans="1:12" ht="25.5" customHeight="1">
      <c r="A330" s="136" t="s">
        <v>159</v>
      </c>
      <c r="B330" s="137"/>
      <c r="C330" s="82">
        <v>511200</v>
      </c>
      <c r="D330" s="130" t="s">
        <v>435</v>
      </c>
      <c r="E330" s="159">
        <v>185000</v>
      </c>
      <c r="F330" s="159">
        <f>G330-E330</f>
        <v>0</v>
      </c>
      <c r="G330" s="159">
        <v>185000</v>
      </c>
      <c r="H330" s="153">
        <f t="shared" si="41"/>
        <v>100</v>
      </c>
      <c r="I330" s="435">
        <f t="shared" si="40"/>
        <v>0.6073539067629679</v>
      </c>
      <c r="J330" s="6"/>
      <c r="K330" s="11"/>
      <c r="L330" s="11"/>
    </row>
    <row r="331" spans="1:12" ht="24.75" customHeight="1">
      <c r="A331" s="515"/>
      <c r="B331" s="516"/>
      <c r="C331" s="507" t="s">
        <v>84</v>
      </c>
      <c r="D331" s="507"/>
      <c r="E331" s="172">
        <f>E310+E315+E320+E322+E325+E318</f>
        <v>1047400</v>
      </c>
      <c r="F331" s="172">
        <f>F310+F315+F320+F322+F325+F318</f>
        <v>40000</v>
      </c>
      <c r="G331" s="172">
        <f>G310+G315+G320+G322+G325+G318</f>
        <v>1087400</v>
      </c>
      <c r="H331" s="390">
        <f t="shared" si="41"/>
        <v>103.8189803322513</v>
      </c>
      <c r="I331" s="366">
        <f t="shared" si="40"/>
        <v>3.5699277741300066</v>
      </c>
      <c r="J331" s="6"/>
      <c r="K331" s="11"/>
      <c r="L331" s="11"/>
    </row>
    <row r="332" spans="1:12" ht="12.75">
      <c r="A332" s="519"/>
      <c r="B332" s="520"/>
      <c r="C332" s="521" t="s">
        <v>578</v>
      </c>
      <c r="D332" s="513"/>
      <c r="E332" s="202"/>
      <c r="F332" s="202"/>
      <c r="G332" s="202"/>
      <c r="H332" s="202"/>
      <c r="I332" s="203"/>
      <c r="J332" s="6"/>
      <c r="K332" s="11"/>
      <c r="L332" s="11"/>
    </row>
    <row r="333" spans="1:12" ht="12.75">
      <c r="A333" s="519"/>
      <c r="B333" s="520"/>
      <c r="C333" s="512"/>
      <c r="D333" s="513"/>
      <c r="E333" s="204"/>
      <c r="F333" s="204"/>
      <c r="G333" s="204"/>
      <c r="H333" s="204"/>
      <c r="I333" s="205"/>
      <c r="J333" s="6"/>
      <c r="K333" s="11"/>
      <c r="L333" s="11"/>
    </row>
    <row r="334" spans="1:12" ht="17.25" customHeight="1">
      <c r="A334" s="519"/>
      <c r="B334" s="520"/>
      <c r="C334" s="512"/>
      <c r="D334" s="513"/>
      <c r="E334" s="206"/>
      <c r="F334" s="206"/>
      <c r="G334" s="206"/>
      <c r="H334" s="206"/>
      <c r="I334" s="207"/>
      <c r="J334" s="6"/>
      <c r="K334" s="11"/>
      <c r="L334" s="11"/>
    </row>
    <row r="335" spans="1:12" ht="14.25" customHeight="1">
      <c r="A335" s="134"/>
      <c r="B335" s="57">
        <v>411000</v>
      </c>
      <c r="C335" s="83"/>
      <c r="D335" s="76" t="s">
        <v>325</v>
      </c>
      <c r="E335" s="149">
        <f>SUM(E336:E339)</f>
        <v>324100</v>
      </c>
      <c r="F335" s="149">
        <f>SUM(F336:F339)</f>
        <v>64700</v>
      </c>
      <c r="G335" s="149">
        <f>SUM(G336:G339)</f>
        <v>388800</v>
      </c>
      <c r="H335" s="150">
        <f>G335/E335*100</f>
        <v>119.96297439062018</v>
      </c>
      <c r="I335" s="186">
        <f aca="true" t="shared" si="42" ref="I335:I376">G335/$G$604*100</f>
        <v>1.2764281024294155</v>
      </c>
      <c r="J335" s="6"/>
      <c r="K335" s="11"/>
      <c r="L335" s="11"/>
    </row>
    <row r="336" spans="1:12" ht="12.75" customHeight="1">
      <c r="A336" s="134">
        <v>1090</v>
      </c>
      <c r="B336" s="137"/>
      <c r="C336" s="71">
        <v>411100</v>
      </c>
      <c r="D336" s="77" t="s">
        <v>321</v>
      </c>
      <c r="E336" s="153">
        <v>246000</v>
      </c>
      <c r="F336" s="153">
        <f>G336-E336</f>
        <v>41000</v>
      </c>
      <c r="G336" s="153">
        <v>287000</v>
      </c>
      <c r="H336" s="153">
        <f aca="true" t="shared" si="43" ref="H336:H376">G336/E336*100</f>
        <v>116.66666666666667</v>
      </c>
      <c r="I336" s="435">
        <f t="shared" si="42"/>
        <v>0.9422193040052528</v>
      </c>
      <c r="J336" s="6"/>
      <c r="K336" s="11"/>
      <c r="L336" s="11"/>
    </row>
    <row r="337" spans="1:12" ht="25.5">
      <c r="A337" s="134">
        <v>1090</v>
      </c>
      <c r="B337" s="137"/>
      <c r="C337" s="71">
        <v>411200</v>
      </c>
      <c r="D337" s="77" t="s">
        <v>326</v>
      </c>
      <c r="E337" s="157">
        <v>69100</v>
      </c>
      <c r="F337" s="153">
        <f>G337-E337</f>
        <v>4700</v>
      </c>
      <c r="G337" s="157">
        <v>73800</v>
      </c>
      <c r="H337" s="153">
        <f t="shared" si="43"/>
        <v>106.80173661360348</v>
      </c>
      <c r="I337" s="435">
        <f t="shared" si="42"/>
        <v>0.242284963887065</v>
      </c>
      <c r="J337" s="6"/>
      <c r="K337" s="11"/>
      <c r="L337" s="11"/>
    </row>
    <row r="338" spans="1:12" ht="25.5">
      <c r="A338" s="134">
        <v>1090</v>
      </c>
      <c r="B338" s="137"/>
      <c r="C338" s="71">
        <v>411300</v>
      </c>
      <c r="D338" s="77" t="s">
        <v>408</v>
      </c>
      <c r="E338" s="157">
        <v>5000</v>
      </c>
      <c r="F338" s="153">
        <f>G338-E338</f>
        <v>17000</v>
      </c>
      <c r="G338" s="157">
        <v>22000</v>
      </c>
      <c r="H338" s="153">
        <f t="shared" si="43"/>
        <v>440.00000000000006</v>
      </c>
      <c r="I338" s="435">
        <f t="shared" si="42"/>
        <v>0.07222586999343401</v>
      </c>
      <c r="J338" s="6"/>
      <c r="K338" s="11"/>
      <c r="L338" s="11"/>
    </row>
    <row r="339" spans="1:12" ht="12.75" customHeight="1">
      <c r="A339" s="134">
        <v>1090</v>
      </c>
      <c r="B339" s="137"/>
      <c r="C339" s="71">
        <v>411400</v>
      </c>
      <c r="D339" s="78" t="s">
        <v>322</v>
      </c>
      <c r="E339" s="159">
        <v>4000</v>
      </c>
      <c r="F339" s="153">
        <f>G339-E339</f>
        <v>2000</v>
      </c>
      <c r="G339" s="159">
        <v>6000</v>
      </c>
      <c r="H339" s="153">
        <f t="shared" si="43"/>
        <v>150</v>
      </c>
      <c r="I339" s="435">
        <f t="shared" si="42"/>
        <v>0.01969796454366382</v>
      </c>
      <c r="J339" s="6"/>
      <c r="K339" s="11"/>
      <c r="L339" s="11"/>
    </row>
    <row r="340" spans="1:12" ht="14.25" customHeight="1">
      <c r="A340" s="134"/>
      <c r="B340" s="57">
        <v>412000</v>
      </c>
      <c r="C340" s="71"/>
      <c r="D340" s="148" t="s">
        <v>119</v>
      </c>
      <c r="E340" s="188">
        <f>SUM(E341:E350)</f>
        <v>137500</v>
      </c>
      <c r="F340" s="188">
        <f>SUM(F341:F350)</f>
        <v>22700</v>
      </c>
      <c r="G340" s="188">
        <f>SUM(G341:G350)</f>
        <v>160200</v>
      </c>
      <c r="H340" s="150">
        <f t="shared" si="43"/>
        <v>116.50909090909092</v>
      </c>
      <c r="I340" s="186">
        <f t="shared" si="42"/>
        <v>0.525935653315824</v>
      </c>
      <c r="J340" s="6"/>
      <c r="K340" s="11"/>
      <c r="L340" s="11"/>
    </row>
    <row r="341" spans="1:12" ht="26.25" customHeight="1">
      <c r="A341" s="134">
        <v>1090</v>
      </c>
      <c r="B341" s="137"/>
      <c r="C341" s="71">
        <v>412200</v>
      </c>
      <c r="D341" s="93" t="s">
        <v>121</v>
      </c>
      <c r="E341" s="159">
        <v>63650</v>
      </c>
      <c r="F341" s="157">
        <f aca="true" t="shared" si="44" ref="F341:F350">G341-E341</f>
        <v>6500</v>
      </c>
      <c r="G341" s="159">
        <v>70150</v>
      </c>
      <c r="H341" s="153">
        <f t="shared" si="43"/>
        <v>110.21209740769835</v>
      </c>
      <c r="I341" s="435">
        <f t="shared" si="42"/>
        <v>0.2303020354563362</v>
      </c>
      <c r="J341" s="6"/>
      <c r="K341" s="11"/>
      <c r="L341" s="11"/>
    </row>
    <row r="342" spans="1:12" ht="12.75" customHeight="1">
      <c r="A342" s="134">
        <v>1090</v>
      </c>
      <c r="B342" s="137"/>
      <c r="C342" s="71">
        <v>412300</v>
      </c>
      <c r="D342" s="137" t="s">
        <v>122</v>
      </c>
      <c r="E342" s="159">
        <v>5500</v>
      </c>
      <c r="F342" s="157">
        <f t="shared" si="44"/>
        <v>1000</v>
      </c>
      <c r="G342" s="159">
        <v>6500</v>
      </c>
      <c r="H342" s="153">
        <f t="shared" si="43"/>
        <v>118.18181818181819</v>
      </c>
      <c r="I342" s="435">
        <f t="shared" si="42"/>
        <v>0.02133946158896914</v>
      </c>
      <c r="J342" s="6"/>
      <c r="K342" s="11"/>
      <c r="L342" s="11"/>
    </row>
    <row r="343" spans="1:12" ht="12.75" customHeight="1">
      <c r="A343" s="134">
        <v>1090</v>
      </c>
      <c r="B343" s="137"/>
      <c r="C343" s="71">
        <v>412500</v>
      </c>
      <c r="D343" s="137" t="s">
        <v>124</v>
      </c>
      <c r="E343" s="159">
        <v>3000</v>
      </c>
      <c r="F343" s="157">
        <f t="shared" si="44"/>
        <v>0</v>
      </c>
      <c r="G343" s="159">
        <v>3000</v>
      </c>
      <c r="H343" s="153">
        <f t="shared" si="43"/>
        <v>100</v>
      </c>
      <c r="I343" s="435">
        <f t="shared" si="42"/>
        <v>0.00984898227183191</v>
      </c>
      <c r="J343" s="6"/>
      <c r="K343" s="11"/>
      <c r="L343" s="11"/>
    </row>
    <row r="344" spans="1:12" ht="12.75" customHeight="1">
      <c r="A344" s="134">
        <v>1090</v>
      </c>
      <c r="B344" s="137"/>
      <c r="C344" s="71">
        <v>412600</v>
      </c>
      <c r="D344" s="208" t="s">
        <v>125</v>
      </c>
      <c r="E344" s="159">
        <v>600</v>
      </c>
      <c r="F344" s="157">
        <f t="shared" si="44"/>
        <v>0</v>
      </c>
      <c r="G344" s="159">
        <v>600</v>
      </c>
      <c r="H344" s="153">
        <f t="shared" si="43"/>
        <v>100</v>
      </c>
      <c r="I344" s="435">
        <f t="shared" si="42"/>
        <v>0.0019697964543663824</v>
      </c>
      <c r="J344" s="6"/>
      <c r="K344" s="11"/>
      <c r="L344" s="11"/>
    </row>
    <row r="345" spans="1:12" ht="12.75" customHeight="1">
      <c r="A345" s="134" t="s">
        <v>28</v>
      </c>
      <c r="B345" s="137"/>
      <c r="C345" s="137">
        <v>412700</v>
      </c>
      <c r="D345" s="137" t="s">
        <v>126</v>
      </c>
      <c r="E345" s="159">
        <v>3500</v>
      </c>
      <c r="F345" s="157">
        <f t="shared" si="44"/>
        <v>0</v>
      </c>
      <c r="G345" s="159">
        <v>3500</v>
      </c>
      <c r="H345" s="153">
        <f t="shared" si="43"/>
        <v>100</v>
      </c>
      <c r="I345" s="435">
        <f t="shared" si="42"/>
        <v>0.01149047931713723</v>
      </c>
      <c r="J345" s="6"/>
      <c r="K345" s="11"/>
      <c r="L345" s="11"/>
    </row>
    <row r="346" spans="1:12" ht="12.75" customHeight="1">
      <c r="A346" s="134" t="s">
        <v>28</v>
      </c>
      <c r="B346" s="137"/>
      <c r="C346" s="137">
        <v>412900</v>
      </c>
      <c r="D346" s="137" t="s">
        <v>488</v>
      </c>
      <c r="E346" s="159">
        <v>19000</v>
      </c>
      <c r="F346" s="157">
        <f t="shared" si="44"/>
        <v>0</v>
      </c>
      <c r="G346" s="159">
        <v>19000</v>
      </c>
      <c r="H346" s="153">
        <f t="shared" si="43"/>
        <v>100</v>
      </c>
      <c r="I346" s="435">
        <f t="shared" si="42"/>
        <v>0.062376887721602096</v>
      </c>
      <c r="J346" s="6"/>
      <c r="K346" s="12"/>
      <c r="L346" s="11"/>
    </row>
    <row r="347" spans="1:12" ht="12.75" customHeight="1">
      <c r="A347" s="134" t="s">
        <v>28</v>
      </c>
      <c r="B347" s="137"/>
      <c r="C347" s="137">
        <v>412900</v>
      </c>
      <c r="D347" s="137" t="s">
        <v>128</v>
      </c>
      <c r="E347" s="159">
        <v>3000</v>
      </c>
      <c r="F347" s="157">
        <f t="shared" si="44"/>
        <v>0</v>
      </c>
      <c r="G347" s="159">
        <v>3000</v>
      </c>
      <c r="H347" s="153">
        <f t="shared" si="43"/>
        <v>100</v>
      </c>
      <c r="I347" s="435">
        <f t="shared" si="42"/>
        <v>0.00984898227183191</v>
      </c>
      <c r="J347" s="6"/>
      <c r="K347" s="11"/>
      <c r="L347" s="11"/>
    </row>
    <row r="348" spans="1:12" ht="12.75" customHeight="1">
      <c r="A348" s="134" t="s">
        <v>28</v>
      </c>
      <c r="B348" s="137"/>
      <c r="C348" s="137">
        <v>412900</v>
      </c>
      <c r="D348" s="137" t="s">
        <v>420</v>
      </c>
      <c r="E348" s="159">
        <v>4800</v>
      </c>
      <c r="F348" s="157">
        <f t="shared" si="44"/>
        <v>15200</v>
      </c>
      <c r="G348" s="159">
        <v>20000</v>
      </c>
      <c r="H348" s="153">
        <f t="shared" si="43"/>
        <v>416.6666666666667</v>
      </c>
      <c r="I348" s="435">
        <f t="shared" si="42"/>
        <v>0.06565988181221273</v>
      </c>
      <c r="J348" s="6"/>
      <c r="K348" s="11"/>
      <c r="L348" s="11"/>
    </row>
    <row r="349" spans="1:12" ht="12.75" customHeight="1">
      <c r="A349" s="255" t="s">
        <v>28</v>
      </c>
      <c r="B349" s="137"/>
      <c r="C349" s="137">
        <v>418400</v>
      </c>
      <c r="D349" s="93" t="s">
        <v>565</v>
      </c>
      <c r="E349" s="159">
        <v>22850</v>
      </c>
      <c r="F349" s="157">
        <f t="shared" si="44"/>
        <v>0</v>
      </c>
      <c r="G349" s="159">
        <v>22850</v>
      </c>
      <c r="H349" s="153">
        <f t="shared" si="43"/>
        <v>100</v>
      </c>
      <c r="I349" s="435">
        <f t="shared" si="42"/>
        <v>0.07501641497045305</v>
      </c>
      <c r="J349" s="6"/>
      <c r="K349" s="11"/>
      <c r="L349" s="11"/>
    </row>
    <row r="350" spans="1:12" ht="27.75" customHeight="1">
      <c r="A350" s="255" t="s">
        <v>28</v>
      </c>
      <c r="B350" s="137"/>
      <c r="C350" s="137">
        <v>418400</v>
      </c>
      <c r="D350" s="93" t="s">
        <v>566</v>
      </c>
      <c r="E350" s="159">
        <v>11600</v>
      </c>
      <c r="F350" s="157">
        <f t="shared" si="44"/>
        <v>0</v>
      </c>
      <c r="G350" s="159">
        <v>11600</v>
      </c>
      <c r="H350" s="153">
        <f t="shared" si="43"/>
        <v>100</v>
      </c>
      <c r="I350" s="435">
        <f t="shared" si="42"/>
        <v>0.03808273145108339</v>
      </c>
      <c r="J350" s="6"/>
      <c r="K350" s="11"/>
      <c r="L350" s="11"/>
    </row>
    <row r="351" spans="1:12" ht="14.25" customHeight="1">
      <c r="A351" s="134"/>
      <c r="B351" s="57"/>
      <c r="C351" s="71"/>
      <c r="D351" s="160" t="s">
        <v>46</v>
      </c>
      <c r="E351" s="154">
        <f>SUM(E352:E366)</f>
        <v>3143000</v>
      </c>
      <c r="F351" s="154">
        <f>SUM(F352:F366)</f>
        <v>208500</v>
      </c>
      <c r="G351" s="154">
        <f>SUM(G352:G366)</f>
        <v>3351500</v>
      </c>
      <c r="H351" s="150">
        <f t="shared" si="43"/>
        <v>106.6337893732103</v>
      </c>
      <c r="I351" s="186">
        <f t="shared" si="42"/>
        <v>11.002954694681549</v>
      </c>
      <c r="J351" s="6"/>
      <c r="K351" s="408"/>
      <c r="L351" s="11"/>
    </row>
    <row r="352" spans="1:12" ht="12.75">
      <c r="A352" s="134">
        <v>1090</v>
      </c>
      <c r="B352" s="137"/>
      <c r="C352" s="71">
        <v>416100</v>
      </c>
      <c r="D352" s="93" t="s">
        <v>48</v>
      </c>
      <c r="E352" s="157">
        <v>100000</v>
      </c>
      <c r="F352" s="157">
        <f>G352-E352</f>
        <v>0</v>
      </c>
      <c r="G352" s="157">
        <v>100000</v>
      </c>
      <c r="H352" s="153">
        <f t="shared" si="43"/>
        <v>100</v>
      </c>
      <c r="I352" s="435">
        <f t="shared" si="42"/>
        <v>0.3282994090610637</v>
      </c>
      <c r="J352" s="6"/>
      <c r="K352" s="408"/>
      <c r="L352" s="11"/>
    </row>
    <row r="353" spans="1:12" ht="12.75" customHeight="1">
      <c r="A353" s="134" t="s">
        <v>28</v>
      </c>
      <c r="B353" s="137"/>
      <c r="C353" s="71">
        <v>416100</v>
      </c>
      <c r="D353" s="93" t="s">
        <v>191</v>
      </c>
      <c r="E353" s="157">
        <v>100000</v>
      </c>
      <c r="F353" s="157">
        <f aca="true" t="shared" si="45" ref="F353:F366">G353-E353</f>
        <v>0</v>
      </c>
      <c r="G353" s="157">
        <v>100000</v>
      </c>
      <c r="H353" s="153">
        <f t="shared" si="43"/>
        <v>100</v>
      </c>
      <c r="I353" s="435">
        <f t="shared" si="42"/>
        <v>0.3282994090610637</v>
      </c>
      <c r="J353" s="6"/>
      <c r="K353" s="408"/>
      <c r="L353" s="11"/>
    </row>
    <row r="354" spans="1:12" ht="12.75" customHeight="1">
      <c r="A354" s="134">
        <v>1090</v>
      </c>
      <c r="B354" s="137"/>
      <c r="C354" s="71">
        <v>416100</v>
      </c>
      <c r="D354" s="93" t="s">
        <v>103</v>
      </c>
      <c r="E354" s="201">
        <v>900000</v>
      </c>
      <c r="F354" s="157">
        <f t="shared" si="45"/>
        <v>60000</v>
      </c>
      <c r="G354" s="201">
        <v>960000</v>
      </c>
      <c r="H354" s="153">
        <f t="shared" si="43"/>
        <v>106.66666666666667</v>
      </c>
      <c r="I354" s="435">
        <f t="shared" si="42"/>
        <v>3.1516743269862113</v>
      </c>
      <c r="J354" s="6"/>
      <c r="K354" s="409"/>
      <c r="L354" s="12"/>
    </row>
    <row r="355" spans="1:12" ht="12.75">
      <c r="A355" s="134" t="s">
        <v>28</v>
      </c>
      <c r="B355" s="137"/>
      <c r="C355" s="71">
        <v>416100</v>
      </c>
      <c r="D355" s="93" t="s">
        <v>192</v>
      </c>
      <c r="E355" s="201">
        <v>900000</v>
      </c>
      <c r="F355" s="157">
        <f t="shared" si="45"/>
        <v>60000</v>
      </c>
      <c r="G355" s="201">
        <v>960000</v>
      </c>
      <c r="H355" s="153">
        <f t="shared" si="43"/>
        <v>106.66666666666667</v>
      </c>
      <c r="I355" s="435">
        <f t="shared" si="42"/>
        <v>3.1516743269862113</v>
      </c>
      <c r="J355" s="6"/>
      <c r="K355" s="11"/>
      <c r="L355" s="11"/>
    </row>
    <row r="356" spans="1:12" ht="12.75" customHeight="1">
      <c r="A356" s="134">
        <v>1090</v>
      </c>
      <c r="B356" s="137"/>
      <c r="C356" s="102">
        <v>416100</v>
      </c>
      <c r="D356" s="93" t="s">
        <v>50</v>
      </c>
      <c r="E356" s="159">
        <v>15000</v>
      </c>
      <c r="F356" s="157">
        <f t="shared" si="45"/>
        <v>0</v>
      </c>
      <c r="G356" s="159">
        <v>15000</v>
      </c>
      <c r="H356" s="153">
        <f t="shared" si="43"/>
        <v>100</v>
      </c>
      <c r="I356" s="435">
        <f t="shared" si="42"/>
        <v>0.04924491135915955</v>
      </c>
      <c r="J356" s="6"/>
      <c r="K356" s="11"/>
      <c r="L356" s="11"/>
    </row>
    <row r="357" spans="1:12" ht="12.75" customHeight="1">
      <c r="A357" s="134">
        <v>1090</v>
      </c>
      <c r="B357" s="137"/>
      <c r="C357" s="102">
        <v>416100</v>
      </c>
      <c r="D357" s="93" t="s">
        <v>51</v>
      </c>
      <c r="E357" s="159">
        <v>55000</v>
      </c>
      <c r="F357" s="157">
        <f t="shared" si="45"/>
        <v>0</v>
      </c>
      <c r="G357" s="159">
        <v>55000</v>
      </c>
      <c r="H357" s="153">
        <f t="shared" si="43"/>
        <v>100</v>
      </c>
      <c r="I357" s="435">
        <f t="shared" si="42"/>
        <v>0.18056467498358503</v>
      </c>
      <c r="J357" s="6"/>
      <c r="K357" s="410"/>
      <c r="L357" s="11"/>
    </row>
    <row r="358" spans="1:12" ht="26.25" customHeight="1">
      <c r="A358" s="134" t="s">
        <v>28</v>
      </c>
      <c r="B358" s="137"/>
      <c r="C358" s="102">
        <v>416100</v>
      </c>
      <c r="D358" s="93" t="s">
        <v>416</v>
      </c>
      <c r="E358" s="159">
        <v>390000</v>
      </c>
      <c r="F358" s="157">
        <f t="shared" si="45"/>
        <v>53000</v>
      </c>
      <c r="G358" s="159">
        <v>443000</v>
      </c>
      <c r="H358" s="153">
        <f t="shared" si="43"/>
        <v>113.58974358974359</v>
      </c>
      <c r="I358" s="435">
        <f t="shared" si="42"/>
        <v>1.4543663821405122</v>
      </c>
      <c r="J358" s="6"/>
      <c r="K358" s="410"/>
      <c r="L358" s="408"/>
    </row>
    <row r="359" spans="1:12" ht="25.5">
      <c r="A359" s="134" t="s">
        <v>28</v>
      </c>
      <c r="B359" s="137"/>
      <c r="C359" s="102">
        <v>416100</v>
      </c>
      <c r="D359" s="93" t="s">
        <v>436</v>
      </c>
      <c r="E359" s="159">
        <v>16000</v>
      </c>
      <c r="F359" s="157">
        <f t="shared" si="45"/>
        <v>3500</v>
      </c>
      <c r="G359" s="159">
        <v>19500</v>
      </c>
      <c r="H359" s="153">
        <f t="shared" si="43"/>
        <v>121.875</v>
      </c>
      <c r="I359" s="435">
        <f t="shared" si="42"/>
        <v>0.06401838476690741</v>
      </c>
      <c r="J359" s="6"/>
      <c r="K359" s="410"/>
      <c r="L359" s="408"/>
    </row>
    <row r="360" spans="1:12" ht="14.25" customHeight="1">
      <c r="A360" s="134" t="s">
        <v>28</v>
      </c>
      <c r="B360" s="137"/>
      <c r="C360" s="102">
        <v>416100</v>
      </c>
      <c r="D360" s="93" t="s">
        <v>451</v>
      </c>
      <c r="E360" s="159">
        <v>33000</v>
      </c>
      <c r="F360" s="157">
        <f t="shared" si="45"/>
        <v>6000</v>
      </c>
      <c r="G360" s="159">
        <v>39000</v>
      </c>
      <c r="H360" s="153">
        <f t="shared" si="43"/>
        <v>118.18181818181819</v>
      </c>
      <c r="I360" s="435">
        <f t="shared" si="42"/>
        <v>0.12803676953381482</v>
      </c>
      <c r="J360" s="6"/>
      <c r="K360" s="11"/>
      <c r="L360" s="408"/>
    </row>
    <row r="361" spans="1:12" ht="12.75" customHeight="1">
      <c r="A361" s="134" t="s">
        <v>28</v>
      </c>
      <c r="B361" s="137"/>
      <c r="C361" s="71">
        <v>416300</v>
      </c>
      <c r="D361" s="137" t="s">
        <v>49</v>
      </c>
      <c r="E361" s="159">
        <v>100000</v>
      </c>
      <c r="F361" s="157">
        <f t="shared" si="45"/>
        <v>0</v>
      </c>
      <c r="G361" s="159">
        <v>100000</v>
      </c>
      <c r="H361" s="153">
        <f t="shared" si="43"/>
        <v>100</v>
      </c>
      <c r="I361" s="435">
        <f t="shared" si="42"/>
        <v>0.3282994090610637</v>
      </c>
      <c r="J361" s="6"/>
      <c r="K361" s="11"/>
      <c r="L361" s="409"/>
    </row>
    <row r="362" spans="1:12" ht="26.25" customHeight="1">
      <c r="A362" s="134" t="s">
        <v>28</v>
      </c>
      <c r="B362" s="137"/>
      <c r="C362" s="71">
        <v>416300</v>
      </c>
      <c r="D362" s="93" t="s">
        <v>452</v>
      </c>
      <c r="E362" s="159">
        <v>15000</v>
      </c>
      <c r="F362" s="157">
        <f t="shared" si="45"/>
        <v>0</v>
      </c>
      <c r="G362" s="159">
        <v>15000</v>
      </c>
      <c r="H362" s="153">
        <f t="shared" si="43"/>
        <v>100</v>
      </c>
      <c r="I362" s="435">
        <f t="shared" si="42"/>
        <v>0.04924491135915955</v>
      </c>
      <c r="J362" s="6"/>
      <c r="K362" s="11"/>
      <c r="L362" s="11"/>
    </row>
    <row r="363" spans="1:12" ht="12.75" customHeight="1">
      <c r="A363" s="134">
        <v>1090</v>
      </c>
      <c r="B363" s="137"/>
      <c r="C363" s="71">
        <v>416300</v>
      </c>
      <c r="D363" s="93" t="s">
        <v>102</v>
      </c>
      <c r="E363" s="201">
        <v>300000</v>
      </c>
      <c r="F363" s="157">
        <f t="shared" si="45"/>
        <v>26000</v>
      </c>
      <c r="G363" s="201">
        <v>326000</v>
      </c>
      <c r="H363" s="153">
        <f t="shared" si="43"/>
        <v>108.66666666666667</v>
      </c>
      <c r="I363" s="435">
        <f t="shared" si="42"/>
        <v>1.0702560735390676</v>
      </c>
      <c r="J363" s="6"/>
      <c r="K363" s="11"/>
      <c r="L363" s="11"/>
    </row>
    <row r="364" spans="1:12" ht="13.5" customHeight="1">
      <c r="A364" s="134" t="s">
        <v>28</v>
      </c>
      <c r="B364" s="137"/>
      <c r="C364" s="71">
        <v>418200</v>
      </c>
      <c r="D364" s="93" t="s">
        <v>479</v>
      </c>
      <c r="E364" s="159">
        <v>19000</v>
      </c>
      <c r="F364" s="157">
        <f t="shared" si="45"/>
        <v>0</v>
      </c>
      <c r="G364" s="159">
        <v>19000</v>
      </c>
      <c r="H364" s="153">
        <f t="shared" si="43"/>
        <v>100</v>
      </c>
      <c r="I364" s="435">
        <f t="shared" si="42"/>
        <v>0.062376887721602096</v>
      </c>
      <c r="J364" s="6"/>
      <c r="K364" s="11"/>
      <c r="L364" s="12"/>
    </row>
    <row r="365" spans="1:12" ht="12.75" customHeight="1">
      <c r="A365" s="134" t="s">
        <v>28</v>
      </c>
      <c r="B365" s="57"/>
      <c r="C365" s="102">
        <v>487400</v>
      </c>
      <c r="D365" s="98" t="s">
        <v>47</v>
      </c>
      <c r="E365" s="201">
        <v>115000</v>
      </c>
      <c r="F365" s="157">
        <f t="shared" si="45"/>
        <v>0</v>
      </c>
      <c r="G365" s="201">
        <v>115000</v>
      </c>
      <c r="H365" s="153">
        <f t="shared" si="43"/>
        <v>100</v>
      </c>
      <c r="I365" s="435">
        <f t="shared" si="42"/>
        <v>0.37754432042022323</v>
      </c>
      <c r="J365" s="6"/>
      <c r="K365" s="11"/>
      <c r="L365" s="12"/>
    </row>
    <row r="366" spans="1:12" ht="12.75" customHeight="1">
      <c r="A366" s="134" t="s">
        <v>28</v>
      </c>
      <c r="B366" s="137"/>
      <c r="C366" s="102">
        <v>487400</v>
      </c>
      <c r="D366" s="98" t="s">
        <v>193</v>
      </c>
      <c r="E366" s="153">
        <v>85000</v>
      </c>
      <c r="F366" s="157">
        <f t="shared" si="45"/>
        <v>0</v>
      </c>
      <c r="G366" s="153">
        <v>85000</v>
      </c>
      <c r="H366" s="153">
        <f t="shared" si="43"/>
        <v>100</v>
      </c>
      <c r="I366" s="435">
        <f t="shared" si="42"/>
        <v>0.27905449770190416</v>
      </c>
      <c r="J366" s="6"/>
      <c r="K366" s="11"/>
      <c r="L366" s="12"/>
    </row>
    <row r="367" spans="1:12" ht="12.75" customHeight="1">
      <c r="A367" s="134"/>
      <c r="B367" s="57">
        <v>419000</v>
      </c>
      <c r="C367" s="71"/>
      <c r="D367" s="148" t="s">
        <v>309</v>
      </c>
      <c r="E367" s="188">
        <f>SUM(E368)</f>
        <v>2500</v>
      </c>
      <c r="F367" s="188">
        <f>SUM(F368)</f>
        <v>0</v>
      </c>
      <c r="G367" s="188">
        <f>SUM(G368)</f>
        <v>2500</v>
      </c>
      <c r="H367" s="150">
        <f t="shared" si="43"/>
        <v>100</v>
      </c>
      <c r="I367" s="186">
        <f t="shared" si="42"/>
        <v>0.008207485226526591</v>
      </c>
      <c r="J367" s="6"/>
      <c r="K367" s="11"/>
      <c r="L367" s="11"/>
    </row>
    <row r="368" spans="1:12" ht="12.75" customHeight="1">
      <c r="A368" s="134" t="s">
        <v>28</v>
      </c>
      <c r="B368" s="137"/>
      <c r="C368" s="71">
        <v>419100</v>
      </c>
      <c r="D368" s="137" t="s">
        <v>309</v>
      </c>
      <c r="E368" s="157">
        <v>2500</v>
      </c>
      <c r="F368" s="157">
        <f>G368-E368</f>
        <v>0</v>
      </c>
      <c r="G368" s="157">
        <v>2500</v>
      </c>
      <c r="H368" s="153">
        <f t="shared" si="43"/>
        <v>100</v>
      </c>
      <c r="I368" s="435">
        <f t="shared" si="42"/>
        <v>0.008207485226526591</v>
      </c>
      <c r="J368" s="6"/>
      <c r="K368" s="11"/>
      <c r="L368" s="11"/>
    </row>
    <row r="369" spans="1:12" ht="14.25" customHeight="1">
      <c r="A369" s="134"/>
      <c r="B369" s="57">
        <v>511000</v>
      </c>
      <c r="C369" s="71"/>
      <c r="D369" s="148" t="s">
        <v>137</v>
      </c>
      <c r="E369" s="188">
        <f>SUM(E370:E371)</f>
        <v>1500</v>
      </c>
      <c r="F369" s="188">
        <f>SUM(F370:F371)</f>
        <v>15000</v>
      </c>
      <c r="G369" s="188">
        <f>SUM(G370:G371)</f>
        <v>16500</v>
      </c>
      <c r="H369" s="150">
        <f t="shared" si="43"/>
        <v>1100</v>
      </c>
      <c r="I369" s="186">
        <f t="shared" si="42"/>
        <v>0.054169402495075514</v>
      </c>
      <c r="J369" s="6"/>
      <c r="K369" s="12"/>
      <c r="L369" s="11"/>
    </row>
    <row r="370" spans="1:12" ht="12.75" customHeight="1">
      <c r="A370" s="134">
        <v>1090</v>
      </c>
      <c r="B370" s="137"/>
      <c r="C370" s="71">
        <v>511300</v>
      </c>
      <c r="D370" s="137" t="s">
        <v>2</v>
      </c>
      <c r="E370" s="157">
        <v>1500</v>
      </c>
      <c r="F370" s="157">
        <f>G370-E370</f>
        <v>0</v>
      </c>
      <c r="G370" s="157">
        <v>1500</v>
      </c>
      <c r="H370" s="153">
        <f t="shared" si="43"/>
        <v>100</v>
      </c>
      <c r="I370" s="435">
        <f t="shared" si="42"/>
        <v>0.004924491135915955</v>
      </c>
      <c r="J370" s="6"/>
      <c r="K370" s="11"/>
      <c r="L370" s="11"/>
    </row>
    <row r="371" spans="1:12" ht="26.25" customHeight="1">
      <c r="A371" s="134">
        <v>1090</v>
      </c>
      <c r="B371" s="137"/>
      <c r="C371" s="71">
        <v>511300</v>
      </c>
      <c r="D371" s="93" t="s">
        <v>698</v>
      </c>
      <c r="E371" s="157">
        <v>0</v>
      </c>
      <c r="F371" s="157">
        <f>G371-E371</f>
        <v>15000</v>
      </c>
      <c r="G371" s="157">
        <v>15000</v>
      </c>
      <c r="H371" s="153" t="e">
        <f t="shared" si="43"/>
        <v>#DIV/0!</v>
      </c>
      <c r="I371" s="435">
        <f t="shared" si="42"/>
        <v>0.04924491135915955</v>
      </c>
      <c r="J371" s="6"/>
      <c r="K371" s="11"/>
      <c r="L371" s="11"/>
    </row>
    <row r="372" spans="1:12" ht="24.75" customHeight="1">
      <c r="A372" s="141"/>
      <c r="B372" s="57">
        <v>516000</v>
      </c>
      <c r="C372" s="137"/>
      <c r="D372" s="148" t="s">
        <v>296</v>
      </c>
      <c r="E372" s="154">
        <f>SUM(E373)</f>
        <v>1000</v>
      </c>
      <c r="F372" s="154">
        <f>SUM(F373)</f>
        <v>0</v>
      </c>
      <c r="G372" s="154">
        <f>SUM(G373)</f>
        <v>1000</v>
      </c>
      <c r="H372" s="150">
        <f t="shared" si="43"/>
        <v>100</v>
      </c>
      <c r="I372" s="186">
        <f t="shared" si="42"/>
        <v>0.003282994090610637</v>
      </c>
      <c r="J372" s="6"/>
      <c r="K372" s="11"/>
      <c r="L372" s="11"/>
    </row>
    <row r="373" spans="1:12" ht="12.75">
      <c r="A373" s="141" t="s">
        <v>28</v>
      </c>
      <c r="B373" s="137"/>
      <c r="C373" s="137">
        <v>516100</v>
      </c>
      <c r="D373" s="93" t="s">
        <v>285</v>
      </c>
      <c r="E373" s="157">
        <v>1000</v>
      </c>
      <c r="F373" s="157">
        <f>G373-E373</f>
        <v>0</v>
      </c>
      <c r="G373" s="157">
        <v>1000</v>
      </c>
      <c r="H373" s="153">
        <f t="shared" si="43"/>
        <v>100</v>
      </c>
      <c r="I373" s="435">
        <f t="shared" si="42"/>
        <v>0.003282994090610637</v>
      </c>
      <c r="J373" s="6"/>
      <c r="K373" s="12"/>
      <c r="L373" s="11"/>
    </row>
    <row r="374" spans="1:12" ht="15.75" customHeight="1">
      <c r="A374" s="141"/>
      <c r="B374" s="57">
        <v>638000</v>
      </c>
      <c r="C374" s="71"/>
      <c r="D374" s="148" t="s">
        <v>323</v>
      </c>
      <c r="E374" s="154">
        <f>SUM(E375)</f>
        <v>12000</v>
      </c>
      <c r="F374" s="154">
        <f>SUM(F375)</f>
        <v>12000</v>
      </c>
      <c r="G374" s="154">
        <f>SUM(G375)</f>
        <v>24000</v>
      </c>
      <c r="H374" s="150">
        <f t="shared" si="43"/>
        <v>200</v>
      </c>
      <c r="I374" s="186">
        <f t="shared" si="42"/>
        <v>0.07879185817465528</v>
      </c>
      <c r="J374" s="6"/>
      <c r="K374" s="11"/>
      <c r="L374" s="11"/>
    </row>
    <row r="375" spans="1:12" ht="25.5" customHeight="1">
      <c r="A375" s="134"/>
      <c r="B375" s="137"/>
      <c r="C375" s="71">
        <v>638100</v>
      </c>
      <c r="D375" s="93" t="s">
        <v>324</v>
      </c>
      <c r="E375" s="159">
        <v>12000</v>
      </c>
      <c r="F375" s="159">
        <f>G375-E375</f>
        <v>12000</v>
      </c>
      <c r="G375" s="159">
        <v>24000</v>
      </c>
      <c r="H375" s="153">
        <f t="shared" si="43"/>
        <v>200</v>
      </c>
      <c r="I375" s="435">
        <f t="shared" si="42"/>
        <v>0.07879185817465528</v>
      </c>
      <c r="J375" s="6"/>
      <c r="K375" s="11"/>
      <c r="L375" s="11"/>
    </row>
    <row r="376" spans="1:12" ht="23.25" customHeight="1">
      <c r="A376" s="515"/>
      <c r="B376" s="516"/>
      <c r="C376" s="507" t="s">
        <v>86</v>
      </c>
      <c r="D376" s="514"/>
      <c r="E376" s="172">
        <f>E335+E340+E351+E367+E369+E372+E374</f>
        <v>3621600</v>
      </c>
      <c r="F376" s="172">
        <f>F335+F340+F351+F367+F369+F372+F374</f>
        <v>322900</v>
      </c>
      <c r="G376" s="172">
        <f>G335+G340+G351+G367+G369+G372+G374</f>
        <v>3944500</v>
      </c>
      <c r="H376" s="390">
        <f t="shared" si="43"/>
        <v>108.91594875193285</v>
      </c>
      <c r="I376" s="366">
        <f t="shared" si="42"/>
        <v>12.949770190413656</v>
      </c>
      <c r="J376" s="6"/>
      <c r="K376" s="11"/>
      <c r="L376" s="11"/>
    </row>
    <row r="377" spans="1:12" ht="12.75">
      <c r="A377" s="174"/>
      <c r="B377" s="175"/>
      <c r="C377" s="521" t="s">
        <v>577</v>
      </c>
      <c r="D377" s="513"/>
      <c r="E377" s="176"/>
      <c r="F377" s="176"/>
      <c r="G377" s="176"/>
      <c r="H377" s="176"/>
      <c r="I377" s="241"/>
      <c r="J377" s="6"/>
      <c r="K377" s="11"/>
      <c r="L377" s="11"/>
    </row>
    <row r="378" spans="1:12" ht="12.75">
      <c r="A378" s="178"/>
      <c r="B378" s="179"/>
      <c r="C378" s="512"/>
      <c r="D378" s="513"/>
      <c r="E378" s="180"/>
      <c r="F378" s="180"/>
      <c r="G378" s="180"/>
      <c r="H378" s="180"/>
      <c r="I378" s="242"/>
      <c r="J378" s="6"/>
      <c r="K378" s="11"/>
      <c r="L378" s="11"/>
    </row>
    <row r="379" spans="1:12" ht="12.75" customHeight="1">
      <c r="A379" s="182"/>
      <c r="B379" s="183"/>
      <c r="C379" s="512"/>
      <c r="D379" s="513"/>
      <c r="E379" s="184"/>
      <c r="F379" s="184"/>
      <c r="G379" s="184"/>
      <c r="H379" s="184"/>
      <c r="I379" s="243"/>
      <c r="J379" s="6"/>
      <c r="K379" s="11"/>
      <c r="L379" s="11"/>
    </row>
    <row r="380" spans="1:12" ht="12.75">
      <c r="A380" s="134"/>
      <c r="B380" s="57">
        <v>411000</v>
      </c>
      <c r="C380" s="137"/>
      <c r="D380" s="76" t="s">
        <v>325</v>
      </c>
      <c r="E380" s="149">
        <f>SUM(E381:E384)</f>
        <v>630000</v>
      </c>
      <c r="F380" s="149">
        <f>SUM(F381:F384)</f>
        <v>73500</v>
      </c>
      <c r="G380" s="149">
        <f>SUM(G381:G384)</f>
        <v>703500</v>
      </c>
      <c r="H380" s="150">
        <f>G380/E380*100</f>
        <v>111.66666666666667</v>
      </c>
      <c r="I380" s="186">
        <f aca="true" t="shared" si="46" ref="I380:I403">G380/$G$604*100</f>
        <v>2.309586342744583</v>
      </c>
      <c r="J380" s="6"/>
      <c r="K380" s="11"/>
      <c r="L380" s="12"/>
    </row>
    <row r="381" spans="1:12" ht="12.75">
      <c r="A381" s="134" t="s">
        <v>53</v>
      </c>
      <c r="B381" s="137"/>
      <c r="C381" s="71">
        <v>411100</v>
      </c>
      <c r="D381" s="77" t="s">
        <v>321</v>
      </c>
      <c r="E381" s="201">
        <v>484000</v>
      </c>
      <c r="F381" s="201">
        <f>G381-E381</f>
        <v>33000</v>
      </c>
      <c r="G381" s="201">
        <v>517000</v>
      </c>
      <c r="H381" s="153">
        <f aca="true" t="shared" si="47" ref="H381:H403">G381/E381*100</f>
        <v>106.81818181818181</v>
      </c>
      <c r="I381" s="435">
        <f t="shared" si="46"/>
        <v>1.6973079448456991</v>
      </c>
      <c r="J381" s="6"/>
      <c r="K381" s="11"/>
      <c r="L381" s="11"/>
    </row>
    <row r="382" spans="1:12" ht="25.5" customHeight="1">
      <c r="A382" s="134" t="s">
        <v>53</v>
      </c>
      <c r="B382" s="137"/>
      <c r="C382" s="71">
        <v>411200</v>
      </c>
      <c r="D382" s="77" t="s">
        <v>326</v>
      </c>
      <c r="E382" s="159">
        <v>130000</v>
      </c>
      <c r="F382" s="201">
        <f>G382-E382</f>
        <v>32000</v>
      </c>
      <c r="G382" s="159">
        <v>162000</v>
      </c>
      <c r="H382" s="153">
        <f t="shared" si="47"/>
        <v>124.61538461538461</v>
      </c>
      <c r="I382" s="435">
        <f t="shared" si="46"/>
        <v>0.5318450426789232</v>
      </c>
      <c r="J382" s="6"/>
      <c r="K382" s="11"/>
      <c r="L382" s="11"/>
    </row>
    <row r="383" spans="1:12" ht="25.5">
      <c r="A383" s="134" t="s">
        <v>53</v>
      </c>
      <c r="B383" s="137"/>
      <c r="C383" s="71">
        <v>411300</v>
      </c>
      <c r="D383" s="77" t="s">
        <v>408</v>
      </c>
      <c r="E383" s="157">
        <v>11000</v>
      </c>
      <c r="F383" s="201">
        <f>G383-E383</f>
        <v>4500</v>
      </c>
      <c r="G383" s="157">
        <v>15500</v>
      </c>
      <c r="H383" s="153">
        <f t="shared" si="47"/>
        <v>140.9090909090909</v>
      </c>
      <c r="I383" s="435">
        <f t="shared" si="46"/>
        <v>0.050886408404464865</v>
      </c>
      <c r="J383" s="6"/>
      <c r="K383" s="11"/>
      <c r="L383" s="11"/>
    </row>
    <row r="384" spans="1:12" ht="12.75">
      <c r="A384" s="134" t="s">
        <v>53</v>
      </c>
      <c r="B384" s="137"/>
      <c r="C384" s="71">
        <v>411400</v>
      </c>
      <c r="D384" s="78" t="s">
        <v>322</v>
      </c>
      <c r="E384" s="157">
        <v>5000</v>
      </c>
      <c r="F384" s="201">
        <f>G384-E384</f>
        <v>4000</v>
      </c>
      <c r="G384" s="157">
        <v>9000</v>
      </c>
      <c r="H384" s="153">
        <f t="shared" si="47"/>
        <v>180</v>
      </c>
      <c r="I384" s="435">
        <f t="shared" si="46"/>
        <v>0.02954694681549573</v>
      </c>
      <c r="J384" s="6"/>
      <c r="K384" s="11"/>
      <c r="L384" s="11"/>
    </row>
    <row r="385" spans="1:12" ht="12.75">
      <c r="A385" s="134"/>
      <c r="B385" s="57">
        <v>412000</v>
      </c>
      <c r="C385" s="71"/>
      <c r="D385" s="148" t="s">
        <v>119</v>
      </c>
      <c r="E385" s="188">
        <f>SUM(E386:E394)</f>
        <v>118210</v>
      </c>
      <c r="F385" s="188">
        <f>SUM(F386:F394)</f>
        <v>18142.89</v>
      </c>
      <c r="G385" s="188">
        <f>SUM(G386:G394)</f>
        <v>136352.89</v>
      </c>
      <c r="H385" s="150">
        <f t="shared" si="47"/>
        <v>115.3480162422807</v>
      </c>
      <c r="I385" s="186">
        <f t="shared" si="46"/>
        <v>0.44764573210768227</v>
      </c>
      <c r="J385" s="6"/>
      <c r="K385" s="11"/>
      <c r="L385" s="11"/>
    </row>
    <row r="386" spans="1:12" ht="25.5">
      <c r="A386" s="134" t="s">
        <v>53</v>
      </c>
      <c r="B386" s="57"/>
      <c r="C386" s="71">
        <v>412200</v>
      </c>
      <c r="D386" s="93" t="s">
        <v>121</v>
      </c>
      <c r="E386" s="157">
        <v>35000</v>
      </c>
      <c r="F386" s="157">
        <f>G386-E386</f>
        <v>0</v>
      </c>
      <c r="G386" s="157">
        <v>35000</v>
      </c>
      <c r="H386" s="153">
        <f t="shared" si="47"/>
        <v>100</v>
      </c>
      <c r="I386" s="435">
        <f t="shared" si="46"/>
        <v>0.1149047931713723</v>
      </c>
      <c r="J386" s="6"/>
      <c r="K386" s="11"/>
      <c r="L386" s="11"/>
    </row>
    <row r="387" spans="1:12" ht="12.75">
      <c r="A387" s="134" t="s">
        <v>53</v>
      </c>
      <c r="B387" s="57"/>
      <c r="C387" s="71">
        <v>412300</v>
      </c>
      <c r="D387" s="137" t="s">
        <v>122</v>
      </c>
      <c r="E387" s="157">
        <v>8000</v>
      </c>
      <c r="F387" s="157">
        <f aca="true" t="shared" si="48" ref="F387:F394">G387-E387</f>
        <v>7100</v>
      </c>
      <c r="G387" s="157">
        <v>15100</v>
      </c>
      <c r="H387" s="153">
        <f t="shared" si="47"/>
        <v>188.75</v>
      </c>
      <c r="I387" s="435">
        <f t="shared" si="46"/>
        <v>0.04957321076822062</v>
      </c>
      <c r="J387" s="6"/>
      <c r="K387" s="11"/>
      <c r="L387" s="11"/>
    </row>
    <row r="388" spans="1:12" ht="12.75">
      <c r="A388" s="134" t="s">
        <v>53</v>
      </c>
      <c r="B388" s="57"/>
      <c r="C388" s="71">
        <v>412400</v>
      </c>
      <c r="D388" s="93" t="s">
        <v>123</v>
      </c>
      <c r="E388" s="159">
        <v>45000</v>
      </c>
      <c r="F388" s="157">
        <f t="shared" si="48"/>
        <v>10000</v>
      </c>
      <c r="G388" s="159">
        <v>55000</v>
      </c>
      <c r="H388" s="153">
        <f t="shared" si="47"/>
        <v>122.22222222222223</v>
      </c>
      <c r="I388" s="435">
        <f t="shared" si="46"/>
        <v>0.18056467498358503</v>
      </c>
      <c r="J388" s="6"/>
      <c r="K388" s="11"/>
      <c r="L388" s="11"/>
    </row>
    <row r="389" spans="1:12" ht="12.75">
      <c r="A389" s="134" t="s">
        <v>53</v>
      </c>
      <c r="B389" s="57"/>
      <c r="C389" s="71">
        <v>412500</v>
      </c>
      <c r="D389" s="137" t="s">
        <v>124</v>
      </c>
      <c r="E389" s="159">
        <v>10000</v>
      </c>
      <c r="F389" s="157">
        <f t="shared" si="48"/>
        <v>-900</v>
      </c>
      <c r="G389" s="159">
        <v>9100</v>
      </c>
      <c r="H389" s="153">
        <f t="shared" si="47"/>
        <v>91</v>
      </c>
      <c r="I389" s="435">
        <f t="shared" si="46"/>
        <v>0.029875246224556794</v>
      </c>
      <c r="J389" s="6"/>
      <c r="K389" s="11"/>
      <c r="L389" s="11"/>
    </row>
    <row r="390" spans="1:12" ht="12.75">
      <c r="A390" s="134" t="s">
        <v>53</v>
      </c>
      <c r="B390" s="57"/>
      <c r="C390" s="71">
        <v>412600</v>
      </c>
      <c r="D390" s="137" t="s">
        <v>125</v>
      </c>
      <c r="E390" s="159">
        <v>600</v>
      </c>
      <c r="F390" s="157">
        <f t="shared" si="48"/>
        <v>400</v>
      </c>
      <c r="G390" s="159">
        <v>1000</v>
      </c>
      <c r="H390" s="153">
        <f t="shared" si="47"/>
        <v>166.66666666666669</v>
      </c>
      <c r="I390" s="435">
        <f t="shared" si="46"/>
        <v>0.003282994090610637</v>
      </c>
      <c r="J390" s="6"/>
      <c r="K390" s="12"/>
      <c r="L390" s="11"/>
    </row>
    <row r="391" spans="1:12" ht="12.75">
      <c r="A391" s="134" t="s">
        <v>53</v>
      </c>
      <c r="B391" s="57"/>
      <c r="C391" s="137">
        <v>412700</v>
      </c>
      <c r="D391" s="137" t="s">
        <v>126</v>
      </c>
      <c r="E391" s="159">
        <v>1200</v>
      </c>
      <c r="F391" s="157">
        <f t="shared" si="48"/>
        <v>1550</v>
      </c>
      <c r="G391" s="159">
        <v>2750</v>
      </c>
      <c r="H391" s="153">
        <f t="shared" si="47"/>
        <v>229.16666666666666</v>
      </c>
      <c r="I391" s="435">
        <f t="shared" si="46"/>
        <v>0.009028233749179252</v>
      </c>
      <c r="J391" s="6"/>
      <c r="K391" s="11"/>
      <c r="L391" s="11"/>
    </row>
    <row r="392" spans="1:12" ht="12.75">
      <c r="A392" s="134" t="s">
        <v>53</v>
      </c>
      <c r="B392" s="57"/>
      <c r="C392" s="137">
        <v>412900</v>
      </c>
      <c r="D392" s="137" t="s">
        <v>128</v>
      </c>
      <c r="E392" s="159">
        <v>13500</v>
      </c>
      <c r="F392" s="157">
        <f t="shared" si="48"/>
        <v>-2150</v>
      </c>
      <c r="G392" s="159">
        <v>11350</v>
      </c>
      <c r="H392" s="153">
        <f t="shared" si="47"/>
        <v>84.07407407407408</v>
      </c>
      <c r="I392" s="435">
        <f t="shared" si="46"/>
        <v>0.03726198292843073</v>
      </c>
      <c r="J392" s="6"/>
      <c r="K392" s="11"/>
      <c r="L392" s="11"/>
    </row>
    <row r="393" spans="1:12" ht="25.5">
      <c r="A393" s="134" t="s">
        <v>53</v>
      </c>
      <c r="B393" s="57"/>
      <c r="C393" s="137">
        <v>412900</v>
      </c>
      <c r="D393" s="93" t="s">
        <v>349</v>
      </c>
      <c r="E393" s="159">
        <v>4910</v>
      </c>
      <c r="F393" s="157">
        <f t="shared" si="48"/>
        <v>0</v>
      </c>
      <c r="G393" s="159">
        <v>4910</v>
      </c>
      <c r="H393" s="153">
        <f t="shared" si="47"/>
        <v>100</v>
      </c>
      <c r="I393" s="435">
        <f t="shared" si="46"/>
        <v>0.016119500984898227</v>
      </c>
      <c r="J393" s="6"/>
      <c r="K393" s="411"/>
      <c r="L393" s="11"/>
    </row>
    <row r="394" spans="1:12" ht="25.5">
      <c r="A394" s="134" t="s">
        <v>53</v>
      </c>
      <c r="B394" s="57"/>
      <c r="C394" s="137">
        <v>412900</v>
      </c>
      <c r="D394" s="93" t="s">
        <v>673</v>
      </c>
      <c r="E394" s="159">
        <v>0</v>
      </c>
      <c r="F394" s="157">
        <f t="shared" si="48"/>
        <v>2142.89</v>
      </c>
      <c r="G394" s="159">
        <v>2142.89</v>
      </c>
      <c r="H394" s="153" t="e">
        <f t="shared" si="47"/>
        <v>#DIV/0!</v>
      </c>
      <c r="I394" s="435">
        <f t="shared" si="46"/>
        <v>0.007035095206828627</v>
      </c>
      <c r="J394" s="6"/>
      <c r="K394" s="411"/>
      <c r="L394" s="11"/>
    </row>
    <row r="395" spans="1:12" ht="12.75">
      <c r="A395" s="134"/>
      <c r="B395" s="57">
        <v>418000</v>
      </c>
      <c r="C395" s="137"/>
      <c r="D395" s="449" t="s">
        <v>665</v>
      </c>
      <c r="E395" s="420">
        <f>SUM(E396)</f>
        <v>0</v>
      </c>
      <c r="F395" s="420">
        <f>SUM(F396)</f>
        <v>6650</v>
      </c>
      <c r="G395" s="420">
        <f>SUM(G396)</f>
        <v>6650</v>
      </c>
      <c r="H395" s="244" t="e">
        <f t="shared" si="47"/>
        <v>#DIV/0!</v>
      </c>
      <c r="I395" s="450">
        <f t="shared" si="46"/>
        <v>0.021831910702560735</v>
      </c>
      <c r="J395" s="6"/>
      <c r="K395" s="411"/>
      <c r="L395" s="11"/>
    </row>
    <row r="396" spans="1:12" ht="25.5">
      <c r="A396" s="134" t="s">
        <v>53</v>
      </c>
      <c r="B396" s="451"/>
      <c r="C396" s="137">
        <v>418400</v>
      </c>
      <c r="D396" s="93" t="s">
        <v>666</v>
      </c>
      <c r="E396" s="159">
        <v>0</v>
      </c>
      <c r="F396" s="157">
        <f>G396-E396</f>
        <v>6650</v>
      </c>
      <c r="G396" s="159">
        <v>6650</v>
      </c>
      <c r="H396" s="153" t="e">
        <f t="shared" si="47"/>
        <v>#DIV/0!</v>
      </c>
      <c r="I396" s="435">
        <f t="shared" si="46"/>
        <v>0.021831910702560735</v>
      </c>
      <c r="J396" s="6"/>
      <c r="K396" s="411"/>
      <c r="L396" s="11"/>
    </row>
    <row r="397" spans="1:12" ht="12.75">
      <c r="A397" s="134"/>
      <c r="B397" s="57">
        <v>511000</v>
      </c>
      <c r="C397" s="71"/>
      <c r="D397" s="148" t="s">
        <v>137</v>
      </c>
      <c r="E397" s="188">
        <f>SUM(E398:E398)</f>
        <v>7000</v>
      </c>
      <c r="F397" s="188">
        <f>SUM(F398:F398)</f>
        <v>0</v>
      </c>
      <c r="G397" s="188">
        <f>SUM(G398:G398)</f>
        <v>7000</v>
      </c>
      <c r="H397" s="150">
        <f t="shared" si="47"/>
        <v>100</v>
      </c>
      <c r="I397" s="186">
        <f t="shared" si="46"/>
        <v>0.02298095863427446</v>
      </c>
      <c r="J397" s="6"/>
      <c r="K397" s="411"/>
      <c r="L397" s="11"/>
    </row>
    <row r="398" spans="1:12" ht="12.75">
      <c r="A398" s="134" t="s">
        <v>53</v>
      </c>
      <c r="B398" s="57"/>
      <c r="C398" s="71">
        <v>511300</v>
      </c>
      <c r="D398" s="137" t="s">
        <v>2</v>
      </c>
      <c r="E398" s="159">
        <v>7000</v>
      </c>
      <c r="F398" s="157">
        <f>G398-E398</f>
        <v>0</v>
      </c>
      <c r="G398" s="159">
        <v>7000</v>
      </c>
      <c r="H398" s="153">
        <f t="shared" si="47"/>
        <v>100</v>
      </c>
      <c r="I398" s="435">
        <f t="shared" si="46"/>
        <v>0.02298095863427446</v>
      </c>
      <c r="J398" s="6"/>
      <c r="K398" s="11"/>
      <c r="L398" s="11"/>
    </row>
    <row r="399" spans="1:12" ht="21.75" customHeight="1">
      <c r="A399" s="134"/>
      <c r="B399" s="57">
        <v>516000</v>
      </c>
      <c r="C399" s="71"/>
      <c r="D399" s="148" t="s">
        <v>296</v>
      </c>
      <c r="E399" s="188">
        <f>SUM(E400:E400)</f>
        <v>3000</v>
      </c>
      <c r="F399" s="188">
        <f>SUM(F400:F400)</f>
        <v>3000</v>
      </c>
      <c r="G399" s="188">
        <f>SUM(G400:G400)</f>
        <v>6000</v>
      </c>
      <c r="H399" s="150">
        <f t="shared" si="47"/>
        <v>200</v>
      </c>
      <c r="I399" s="186">
        <f t="shared" si="46"/>
        <v>0.01969796454366382</v>
      </c>
      <c r="J399" s="6"/>
      <c r="K399" s="11"/>
      <c r="L399" s="11"/>
    </row>
    <row r="400" spans="1:12" ht="12.75">
      <c r="A400" s="134" t="s">
        <v>53</v>
      </c>
      <c r="B400" s="137"/>
      <c r="C400" s="71">
        <v>516100</v>
      </c>
      <c r="D400" s="137" t="s">
        <v>286</v>
      </c>
      <c r="E400" s="159">
        <v>3000</v>
      </c>
      <c r="F400" s="159">
        <f>G400-E400</f>
        <v>3000</v>
      </c>
      <c r="G400" s="159">
        <v>6000</v>
      </c>
      <c r="H400" s="153">
        <f t="shared" si="47"/>
        <v>200</v>
      </c>
      <c r="I400" s="435">
        <f t="shared" si="46"/>
        <v>0.01969796454366382</v>
      </c>
      <c r="J400" s="6"/>
      <c r="K400" s="11"/>
      <c r="L400" s="11"/>
    </row>
    <row r="401" spans="1:12" ht="12.75">
      <c r="A401" s="134"/>
      <c r="B401" s="57">
        <v>638000</v>
      </c>
      <c r="C401" s="71"/>
      <c r="D401" s="148" t="s">
        <v>323</v>
      </c>
      <c r="E401" s="154">
        <f>SUM(E402)</f>
        <v>48000</v>
      </c>
      <c r="F401" s="154">
        <f>SUM(F402)</f>
        <v>-2500</v>
      </c>
      <c r="G401" s="154">
        <f>SUM(G402)</f>
        <v>45500</v>
      </c>
      <c r="H401" s="150">
        <f t="shared" si="47"/>
        <v>94.79166666666666</v>
      </c>
      <c r="I401" s="186">
        <f t="shared" si="46"/>
        <v>0.14937623112278398</v>
      </c>
      <c r="J401" s="6"/>
      <c r="K401" s="11"/>
      <c r="L401" s="11"/>
    </row>
    <row r="402" spans="1:12" ht="25.5">
      <c r="A402" s="134"/>
      <c r="B402" s="137"/>
      <c r="C402" s="71">
        <v>638100</v>
      </c>
      <c r="D402" s="385" t="s">
        <v>324</v>
      </c>
      <c r="E402" s="254">
        <v>48000</v>
      </c>
      <c r="F402" s="254">
        <f>G402-E402</f>
        <v>-2500</v>
      </c>
      <c r="G402" s="254">
        <v>45500</v>
      </c>
      <c r="H402" s="153">
        <f t="shared" si="47"/>
        <v>94.79166666666666</v>
      </c>
      <c r="I402" s="435">
        <f t="shared" si="46"/>
        <v>0.14937623112278398</v>
      </c>
      <c r="J402" s="6"/>
      <c r="K402" s="11"/>
      <c r="L402" s="11"/>
    </row>
    <row r="403" spans="1:12" ht="25.5" customHeight="1">
      <c r="A403" s="515"/>
      <c r="B403" s="516"/>
      <c r="C403" s="507" t="s">
        <v>90</v>
      </c>
      <c r="D403" s="514"/>
      <c r="E403" s="172">
        <f>E380+E385+E395+E397+E399+E401</f>
        <v>806210</v>
      </c>
      <c r="F403" s="172">
        <f>F380+F385+F395+F397+F399+F401</f>
        <v>98792.89</v>
      </c>
      <c r="G403" s="172">
        <f>G380+G385+G395+G397+G399+G401</f>
        <v>905002.89</v>
      </c>
      <c r="H403" s="390">
        <f t="shared" si="47"/>
        <v>112.25398965530073</v>
      </c>
      <c r="I403" s="366">
        <f t="shared" si="46"/>
        <v>2.9711191398555483</v>
      </c>
      <c r="J403" s="6"/>
      <c r="K403" s="11"/>
      <c r="L403" s="11"/>
    </row>
    <row r="404" spans="1:12" ht="39.75" customHeight="1">
      <c r="A404" s="255"/>
      <c r="B404" s="234"/>
      <c r="C404" s="508" t="s">
        <v>615</v>
      </c>
      <c r="D404" s="509"/>
      <c r="E404" s="352"/>
      <c r="F404" s="352"/>
      <c r="G404" s="352"/>
      <c r="H404" s="353"/>
      <c r="I404" s="356"/>
      <c r="J404" s="6"/>
      <c r="K404" s="11"/>
      <c r="L404" s="11"/>
    </row>
    <row r="405" spans="1:12" ht="12.75">
      <c r="A405" s="255"/>
      <c r="B405" s="357" t="s">
        <v>356</v>
      </c>
      <c r="C405" s="466"/>
      <c r="D405" s="376" t="s">
        <v>325</v>
      </c>
      <c r="E405" s="362">
        <f>SUM(E406:E411)</f>
        <v>3400100</v>
      </c>
      <c r="F405" s="362">
        <f>SUM(F406:F411)</f>
        <v>287500</v>
      </c>
      <c r="G405" s="362">
        <f>SUM(G406:G411)</f>
        <v>3687600</v>
      </c>
      <c r="H405" s="362">
        <f>G405/E405*100</f>
        <v>108.4556336578336</v>
      </c>
      <c r="I405" s="363">
        <f aca="true" t="shared" si="49" ref="I405:I436">G405/$G$604*100</f>
        <v>12.106369008535784</v>
      </c>
      <c r="J405" s="377"/>
      <c r="K405" s="11"/>
      <c r="L405" s="11"/>
    </row>
    <row r="406" spans="1:12" ht="12.75">
      <c r="A406" s="255" t="s">
        <v>651</v>
      </c>
      <c r="B406" s="234"/>
      <c r="C406" s="378">
        <v>411100</v>
      </c>
      <c r="D406" s="379" t="s">
        <v>321</v>
      </c>
      <c r="E406" s="367">
        <v>3264700</v>
      </c>
      <c r="F406" s="367">
        <f aca="true" t="shared" si="50" ref="F406:F411">G406-E406</f>
        <v>240000</v>
      </c>
      <c r="G406" s="367">
        <v>3504700</v>
      </c>
      <c r="H406" s="354">
        <f>G406/E406*100</f>
        <v>107.35136459705332</v>
      </c>
      <c r="I406" s="355">
        <f t="shared" si="49"/>
        <v>11.505909389363099</v>
      </c>
      <c r="J406" s="377"/>
      <c r="K406" s="11"/>
      <c r="L406" s="412"/>
    </row>
    <row r="407" spans="1:12" ht="12.75">
      <c r="A407" s="255" t="s">
        <v>651</v>
      </c>
      <c r="B407" s="234"/>
      <c r="C407" s="378">
        <v>411200</v>
      </c>
      <c r="D407" s="379" t="s">
        <v>502</v>
      </c>
      <c r="E407" s="367">
        <v>52000</v>
      </c>
      <c r="F407" s="367">
        <f t="shared" si="50"/>
        <v>18000</v>
      </c>
      <c r="G407" s="367">
        <v>70000</v>
      </c>
      <c r="H407" s="354">
        <f aca="true" t="shared" si="51" ref="H407:H464">G407/E407*100</f>
        <v>134.6153846153846</v>
      </c>
      <c r="I407" s="355">
        <f t="shared" si="49"/>
        <v>0.2298095863427446</v>
      </c>
      <c r="J407" s="377"/>
      <c r="K407" s="11"/>
      <c r="L407" s="412"/>
    </row>
    <row r="408" spans="1:12" ht="12.75">
      <c r="A408" s="255" t="s">
        <v>651</v>
      </c>
      <c r="B408" s="234"/>
      <c r="C408" s="378">
        <v>411200</v>
      </c>
      <c r="D408" s="379" t="s">
        <v>503</v>
      </c>
      <c r="E408" s="367">
        <v>13500</v>
      </c>
      <c r="F408" s="367">
        <f t="shared" si="50"/>
        <v>24000</v>
      </c>
      <c r="G408" s="367">
        <v>37500</v>
      </c>
      <c r="H408" s="354">
        <f t="shared" si="51"/>
        <v>277.77777777777777</v>
      </c>
      <c r="I408" s="355">
        <f t="shared" si="49"/>
        <v>0.12311227839789887</v>
      </c>
      <c r="J408" s="377"/>
      <c r="K408" s="11"/>
      <c r="L408" s="413"/>
    </row>
    <row r="409" spans="1:12" ht="12.75">
      <c r="A409" s="255" t="s">
        <v>651</v>
      </c>
      <c r="B409" s="234"/>
      <c r="C409" s="378">
        <v>411200</v>
      </c>
      <c r="D409" s="379" t="s">
        <v>338</v>
      </c>
      <c r="E409" s="127">
        <v>400</v>
      </c>
      <c r="F409" s="367">
        <f t="shared" si="50"/>
        <v>1500</v>
      </c>
      <c r="G409" s="127">
        <v>1900</v>
      </c>
      <c r="H409" s="354">
        <f t="shared" si="51"/>
        <v>475</v>
      </c>
      <c r="I409" s="355">
        <f t="shared" si="49"/>
        <v>0.006237688772160211</v>
      </c>
      <c r="J409" s="377"/>
      <c r="K409" s="11"/>
      <c r="L409" s="412"/>
    </row>
    <row r="410" spans="1:12" ht="25.5">
      <c r="A410" s="255" t="s">
        <v>651</v>
      </c>
      <c r="B410" s="234"/>
      <c r="C410" s="378">
        <v>411300</v>
      </c>
      <c r="D410" s="380" t="s">
        <v>545</v>
      </c>
      <c r="E410" s="367">
        <v>42400</v>
      </c>
      <c r="F410" s="367">
        <f t="shared" si="50"/>
        <v>0</v>
      </c>
      <c r="G410" s="367">
        <v>42400</v>
      </c>
      <c r="H410" s="354">
        <f t="shared" si="51"/>
        <v>100</v>
      </c>
      <c r="I410" s="355">
        <f t="shared" si="49"/>
        <v>0.139198949441891</v>
      </c>
      <c r="J410" s="377"/>
      <c r="K410" s="11"/>
      <c r="L410" s="412"/>
    </row>
    <row r="411" spans="1:12" ht="12.75">
      <c r="A411" s="255" t="s">
        <v>651</v>
      </c>
      <c r="B411" s="234"/>
      <c r="C411" s="378">
        <v>411400</v>
      </c>
      <c r="D411" s="379" t="s">
        <v>322</v>
      </c>
      <c r="E411" s="367">
        <v>27100</v>
      </c>
      <c r="F411" s="367">
        <f t="shared" si="50"/>
        <v>4000</v>
      </c>
      <c r="G411" s="367">
        <v>31100</v>
      </c>
      <c r="H411" s="354">
        <f t="shared" si="51"/>
        <v>114.76014760147602</v>
      </c>
      <c r="I411" s="355">
        <f t="shared" si="49"/>
        <v>0.1021011162179908</v>
      </c>
      <c r="J411" s="377"/>
      <c r="K411" s="11"/>
      <c r="L411" s="11"/>
    </row>
    <row r="412" spans="1:12" ht="12.75">
      <c r="A412" s="255"/>
      <c r="B412" s="357" t="s">
        <v>357</v>
      </c>
      <c r="C412" s="358"/>
      <c r="D412" s="381" t="s">
        <v>119</v>
      </c>
      <c r="E412" s="437">
        <f>SUM(E413:E434)</f>
        <v>914500</v>
      </c>
      <c r="F412" s="437">
        <f>SUM(F413:F434)</f>
        <v>-145900</v>
      </c>
      <c r="G412" s="437">
        <f>SUM(G413:G434)</f>
        <v>768600</v>
      </c>
      <c r="H412" s="362">
        <f t="shared" si="51"/>
        <v>84.04592673592127</v>
      </c>
      <c r="I412" s="363">
        <f t="shared" si="49"/>
        <v>2.523309258043336</v>
      </c>
      <c r="J412" s="377"/>
      <c r="K412" s="11"/>
      <c r="L412" s="11"/>
    </row>
    <row r="413" spans="1:12" ht="12.75">
      <c r="A413" s="255" t="s">
        <v>651</v>
      </c>
      <c r="B413" s="234"/>
      <c r="C413" s="378">
        <v>412100</v>
      </c>
      <c r="D413" s="379" t="s">
        <v>504</v>
      </c>
      <c r="E413" s="367">
        <v>1960</v>
      </c>
      <c r="F413" s="367">
        <f>G413-E413</f>
        <v>0</v>
      </c>
      <c r="G413" s="367">
        <v>1960</v>
      </c>
      <c r="H413" s="354">
        <f t="shared" si="51"/>
        <v>100</v>
      </c>
      <c r="I413" s="355">
        <f t="shared" si="49"/>
        <v>0.006434668417596848</v>
      </c>
      <c r="J413" s="377"/>
      <c r="K413" s="11"/>
      <c r="L413" s="11"/>
    </row>
    <row r="414" spans="1:12" ht="12.75">
      <c r="A414" s="255" t="s">
        <v>651</v>
      </c>
      <c r="B414" s="234"/>
      <c r="C414" s="378">
        <v>412200</v>
      </c>
      <c r="D414" s="379" t="s">
        <v>505</v>
      </c>
      <c r="E414" s="367">
        <v>194000</v>
      </c>
      <c r="F414" s="367">
        <f aca="true" t="shared" si="52" ref="F414:F434">G414-E414</f>
        <v>-17700</v>
      </c>
      <c r="G414" s="367">
        <v>176300</v>
      </c>
      <c r="H414" s="354">
        <f t="shared" si="51"/>
        <v>90.87628865979381</v>
      </c>
      <c r="I414" s="355">
        <f t="shared" si="49"/>
        <v>0.5787918581746553</v>
      </c>
      <c r="J414" s="377"/>
      <c r="K414" s="11"/>
      <c r="L414" s="11"/>
    </row>
    <row r="415" spans="1:12" ht="12.75">
      <c r="A415" s="255" t="s">
        <v>651</v>
      </c>
      <c r="B415" s="234"/>
      <c r="C415" s="378">
        <v>412200</v>
      </c>
      <c r="D415" s="379" t="s">
        <v>506</v>
      </c>
      <c r="E415" s="367">
        <v>22000</v>
      </c>
      <c r="F415" s="367">
        <f t="shared" si="52"/>
        <v>-2000</v>
      </c>
      <c r="G415" s="367">
        <v>20000</v>
      </c>
      <c r="H415" s="354">
        <f t="shared" si="51"/>
        <v>90.9090909090909</v>
      </c>
      <c r="I415" s="355">
        <f t="shared" si="49"/>
        <v>0.06565988181221273</v>
      </c>
      <c r="J415" s="377"/>
      <c r="K415" s="11"/>
      <c r="L415" s="11"/>
    </row>
    <row r="416" spans="1:12" ht="12.75">
      <c r="A416" s="255" t="s">
        <v>651</v>
      </c>
      <c r="B416" s="234"/>
      <c r="C416" s="378">
        <v>412200</v>
      </c>
      <c r="D416" s="379" t="s">
        <v>507</v>
      </c>
      <c r="E416" s="367">
        <v>66790</v>
      </c>
      <c r="F416" s="367">
        <f t="shared" si="52"/>
        <v>-25000</v>
      </c>
      <c r="G416" s="367">
        <v>41790</v>
      </c>
      <c r="H416" s="354">
        <f t="shared" si="51"/>
        <v>62.56924689324749</v>
      </c>
      <c r="I416" s="355">
        <f t="shared" si="49"/>
        <v>0.13719632304661852</v>
      </c>
      <c r="J416" s="377"/>
      <c r="K416" s="11"/>
      <c r="L416" s="11"/>
    </row>
    <row r="417" spans="1:12" ht="12.75">
      <c r="A417" s="255" t="s">
        <v>651</v>
      </c>
      <c r="B417" s="234"/>
      <c r="C417" s="378">
        <v>412200</v>
      </c>
      <c r="D417" s="379" t="s">
        <v>558</v>
      </c>
      <c r="E417" s="367">
        <v>110000</v>
      </c>
      <c r="F417" s="367">
        <f t="shared" si="52"/>
        <v>-15000</v>
      </c>
      <c r="G417" s="367">
        <v>95000</v>
      </c>
      <c r="H417" s="354">
        <f t="shared" si="51"/>
        <v>86.36363636363636</v>
      </c>
      <c r="I417" s="355">
        <f t="shared" si="49"/>
        <v>0.3118844386080105</v>
      </c>
      <c r="J417" s="377"/>
      <c r="K417" s="11"/>
      <c r="L417" s="11"/>
    </row>
    <row r="418" spans="1:12" ht="12.75">
      <c r="A418" s="255" t="s">
        <v>651</v>
      </c>
      <c r="B418" s="234"/>
      <c r="C418" s="378">
        <v>412300</v>
      </c>
      <c r="D418" s="379" t="s">
        <v>508</v>
      </c>
      <c r="E418" s="367">
        <v>17500</v>
      </c>
      <c r="F418" s="367">
        <f t="shared" si="52"/>
        <v>-4750</v>
      </c>
      <c r="G418" s="367">
        <v>12750</v>
      </c>
      <c r="H418" s="354">
        <f t="shared" si="51"/>
        <v>72.85714285714285</v>
      </c>
      <c r="I418" s="355">
        <f t="shared" si="49"/>
        <v>0.04185817465528562</v>
      </c>
      <c r="J418" s="377"/>
      <c r="K418" s="11"/>
      <c r="L418" s="11"/>
    </row>
    <row r="419" spans="1:12" ht="12.75">
      <c r="A419" s="255" t="s">
        <v>651</v>
      </c>
      <c r="B419" s="234"/>
      <c r="C419" s="378">
        <v>412300</v>
      </c>
      <c r="D419" s="379" t="s">
        <v>509</v>
      </c>
      <c r="E419" s="367">
        <v>10000</v>
      </c>
      <c r="F419" s="367">
        <f t="shared" si="52"/>
        <v>-2500</v>
      </c>
      <c r="G419" s="367">
        <v>7500</v>
      </c>
      <c r="H419" s="354">
        <f t="shared" si="51"/>
        <v>75</v>
      </c>
      <c r="I419" s="355">
        <f t="shared" si="49"/>
        <v>0.024622455679579776</v>
      </c>
      <c r="J419" s="377"/>
      <c r="K419" s="11"/>
      <c r="L419" s="11"/>
    </row>
    <row r="420" spans="1:12" ht="12.75">
      <c r="A420" s="255" t="s">
        <v>651</v>
      </c>
      <c r="B420" s="234"/>
      <c r="C420" s="378">
        <v>412300</v>
      </c>
      <c r="D420" s="379" t="s">
        <v>510</v>
      </c>
      <c r="E420" s="367">
        <v>800</v>
      </c>
      <c r="F420" s="367">
        <f t="shared" si="52"/>
        <v>0</v>
      </c>
      <c r="G420" s="367">
        <v>800</v>
      </c>
      <c r="H420" s="354">
        <f t="shared" si="51"/>
        <v>100</v>
      </c>
      <c r="I420" s="355">
        <f t="shared" si="49"/>
        <v>0.0026263952724885093</v>
      </c>
      <c r="J420" s="377"/>
      <c r="K420" s="11"/>
      <c r="L420" s="11"/>
    </row>
    <row r="421" spans="1:12" ht="12.75">
      <c r="A421" s="255" t="s">
        <v>651</v>
      </c>
      <c r="B421" s="234"/>
      <c r="C421" s="378">
        <v>412300</v>
      </c>
      <c r="D421" s="379" t="s">
        <v>511</v>
      </c>
      <c r="E421" s="367">
        <v>1000</v>
      </c>
      <c r="F421" s="367">
        <f t="shared" si="52"/>
        <v>0</v>
      </c>
      <c r="G421" s="367">
        <v>1000</v>
      </c>
      <c r="H421" s="354">
        <f t="shared" si="51"/>
        <v>100</v>
      </c>
      <c r="I421" s="355">
        <f t="shared" si="49"/>
        <v>0.003282994090610637</v>
      </c>
      <c r="J421" s="377"/>
      <c r="K421" s="11"/>
      <c r="L421" s="11"/>
    </row>
    <row r="422" spans="1:12" ht="12.75">
      <c r="A422" s="255" t="s">
        <v>651</v>
      </c>
      <c r="B422" s="234"/>
      <c r="C422" s="378">
        <v>412400</v>
      </c>
      <c r="D422" s="379" t="s">
        <v>559</v>
      </c>
      <c r="E422" s="367">
        <v>212000</v>
      </c>
      <c r="F422" s="367">
        <f t="shared" si="52"/>
        <v>-83000</v>
      </c>
      <c r="G422" s="367">
        <v>129000</v>
      </c>
      <c r="H422" s="354">
        <f t="shared" si="51"/>
        <v>60.84905660377359</v>
      </c>
      <c r="I422" s="355">
        <f t="shared" si="49"/>
        <v>0.4235062376887722</v>
      </c>
      <c r="J422" s="377"/>
      <c r="K422" s="11"/>
      <c r="L422" s="11"/>
    </row>
    <row r="423" spans="1:12" ht="12.75">
      <c r="A423" s="255" t="s">
        <v>651</v>
      </c>
      <c r="B423" s="234"/>
      <c r="C423" s="378">
        <v>412500</v>
      </c>
      <c r="D423" s="379" t="s">
        <v>512</v>
      </c>
      <c r="E423" s="367">
        <v>1550</v>
      </c>
      <c r="F423" s="367">
        <f t="shared" si="52"/>
        <v>0</v>
      </c>
      <c r="G423" s="367">
        <v>1550</v>
      </c>
      <c r="H423" s="354">
        <f t="shared" si="51"/>
        <v>100</v>
      </c>
      <c r="I423" s="355">
        <f t="shared" si="49"/>
        <v>0.005088640840446487</v>
      </c>
      <c r="J423" s="377"/>
      <c r="K423" s="11"/>
      <c r="L423" s="11"/>
    </row>
    <row r="424" spans="1:12" ht="12.75">
      <c r="A424" s="255" t="s">
        <v>651</v>
      </c>
      <c r="B424" s="234"/>
      <c r="C424" s="378">
        <v>412600</v>
      </c>
      <c r="D424" s="379" t="s">
        <v>125</v>
      </c>
      <c r="E424" s="367">
        <v>0</v>
      </c>
      <c r="F424" s="367">
        <f t="shared" si="52"/>
        <v>2900</v>
      </c>
      <c r="G424" s="367">
        <v>2900</v>
      </c>
      <c r="H424" s="354" t="e">
        <f t="shared" si="51"/>
        <v>#DIV/0!</v>
      </c>
      <c r="I424" s="355">
        <f t="shared" si="49"/>
        <v>0.009520682862770847</v>
      </c>
      <c r="J424" s="377"/>
      <c r="K424" s="11"/>
      <c r="L424" s="11"/>
    </row>
    <row r="425" spans="1:12" ht="12.75">
      <c r="A425" s="255" t="s">
        <v>651</v>
      </c>
      <c r="B425" s="234"/>
      <c r="C425" s="378">
        <v>412500</v>
      </c>
      <c r="D425" s="379" t="s">
        <v>513</v>
      </c>
      <c r="E425" s="367">
        <v>40000</v>
      </c>
      <c r="F425" s="367">
        <f t="shared" si="52"/>
        <v>-2000</v>
      </c>
      <c r="G425" s="367">
        <v>38000</v>
      </c>
      <c r="H425" s="354">
        <f t="shared" si="51"/>
        <v>95</v>
      </c>
      <c r="I425" s="355">
        <f t="shared" si="49"/>
        <v>0.12475377544320419</v>
      </c>
      <c r="J425" s="377"/>
      <c r="K425" s="11"/>
      <c r="L425" s="11"/>
    </row>
    <row r="426" spans="1:12" ht="12.75">
      <c r="A426" s="255" t="s">
        <v>651</v>
      </c>
      <c r="B426" s="234"/>
      <c r="C426" s="378">
        <v>412700</v>
      </c>
      <c r="D426" s="379" t="s">
        <v>514</v>
      </c>
      <c r="E426" s="367">
        <v>5600</v>
      </c>
      <c r="F426" s="367">
        <f t="shared" si="52"/>
        <v>2000</v>
      </c>
      <c r="G426" s="367">
        <v>7600</v>
      </c>
      <c r="H426" s="354">
        <f t="shared" si="51"/>
        <v>135.71428571428572</v>
      </c>
      <c r="I426" s="355">
        <f t="shared" si="49"/>
        <v>0.024950755088640843</v>
      </c>
      <c r="J426" s="377"/>
      <c r="K426" s="11"/>
      <c r="L426" s="11"/>
    </row>
    <row r="427" spans="1:12" ht="12.75">
      <c r="A427" s="255" t="s">
        <v>651</v>
      </c>
      <c r="B427" s="234"/>
      <c r="C427" s="378">
        <v>412700</v>
      </c>
      <c r="D427" s="379" t="s">
        <v>515</v>
      </c>
      <c r="E427" s="367">
        <v>1500</v>
      </c>
      <c r="F427" s="367">
        <f t="shared" si="52"/>
        <v>0</v>
      </c>
      <c r="G427" s="367">
        <v>1500</v>
      </c>
      <c r="H427" s="354">
        <f t="shared" si="51"/>
        <v>100</v>
      </c>
      <c r="I427" s="355">
        <f t="shared" si="49"/>
        <v>0.004924491135915955</v>
      </c>
      <c r="J427" s="377"/>
      <c r="K427" s="11"/>
      <c r="L427" s="11"/>
    </row>
    <row r="428" spans="1:12" ht="12.75">
      <c r="A428" s="255" t="s">
        <v>651</v>
      </c>
      <c r="B428" s="234"/>
      <c r="C428" s="378">
        <v>412700</v>
      </c>
      <c r="D428" s="379" t="s">
        <v>516</v>
      </c>
      <c r="E428" s="367">
        <v>8000</v>
      </c>
      <c r="F428" s="367">
        <f t="shared" si="52"/>
        <v>0</v>
      </c>
      <c r="G428" s="367">
        <v>8000</v>
      </c>
      <c r="H428" s="354">
        <f t="shared" si="51"/>
        <v>100</v>
      </c>
      <c r="I428" s="355">
        <f t="shared" si="49"/>
        <v>0.026263952724885097</v>
      </c>
      <c r="J428" s="377"/>
      <c r="K428" s="11"/>
      <c r="L428" s="11"/>
    </row>
    <row r="429" spans="1:12" ht="12.75">
      <c r="A429" s="255" t="s">
        <v>651</v>
      </c>
      <c r="B429" s="234"/>
      <c r="C429" s="378">
        <v>412700</v>
      </c>
      <c r="D429" s="379" t="s">
        <v>560</v>
      </c>
      <c r="E429" s="367">
        <v>7200</v>
      </c>
      <c r="F429" s="367">
        <f t="shared" si="52"/>
        <v>-1800</v>
      </c>
      <c r="G429" s="367">
        <v>5400</v>
      </c>
      <c r="H429" s="354">
        <f t="shared" si="51"/>
        <v>75</v>
      </c>
      <c r="I429" s="355">
        <f t="shared" si="49"/>
        <v>0.017728168089297437</v>
      </c>
      <c r="J429" s="377"/>
      <c r="K429" s="11"/>
      <c r="L429" s="11"/>
    </row>
    <row r="430" spans="1:12" ht="12.75">
      <c r="A430" s="255" t="s">
        <v>651</v>
      </c>
      <c r="B430" s="234"/>
      <c r="C430" s="378">
        <v>412700</v>
      </c>
      <c r="D430" s="379" t="s">
        <v>561</v>
      </c>
      <c r="E430" s="367">
        <v>80000</v>
      </c>
      <c r="F430" s="367">
        <f t="shared" si="52"/>
        <v>-6650</v>
      </c>
      <c r="G430" s="367">
        <v>73350</v>
      </c>
      <c r="H430" s="354">
        <f t="shared" si="51"/>
        <v>91.6875</v>
      </c>
      <c r="I430" s="355">
        <f t="shared" si="49"/>
        <v>0.24080761654629024</v>
      </c>
      <c r="J430" s="377"/>
      <c r="K430" s="11"/>
      <c r="L430" s="11"/>
    </row>
    <row r="431" spans="1:12" ht="12.75">
      <c r="A431" s="255" t="s">
        <v>651</v>
      </c>
      <c r="B431" s="234"/>
      <c r="C431" s="378">
        <v>412900</v>
      </c>
      <c r="D431" s="379" t="s">
        <v>144</v>
      </c>
      <c r="E431" s="367">
        <v>6000</v>
      </c>
      <c r="F431" s="367">
        <f t="shared" si="52"/>
        <v>6600</v>
      </c>
      <c r="G431" s="367">
        <v>12600</v>
      </c>
      <c r="H431" s="354">
        <f t="shared" si="51"/>
        <v>210</v>
      </c>
      <c r="I431" s="355">
        <f t="shared" si="49"/>
        <v>0.04136572554169403</v>
      </c>
      <c r="J431" s="377"/>
      <c r="K431" s="11"/>
      <c r="L431" s="11"/>
    </row>
    <row r="432" spans="1:12" ht="12.75">
      <c r="A432" s="255" t="s">
        <v>651</v>
      </c>
      <c r="B432" s="234"/>
      <c r="C432" s="378">
        <v>412900</v>
      </c>
      <c r="D432" s="379" t="s">
        <v>517</v>
      </c>
      <c r="E432" s="367">
        <v>113000</v>
      </c>
      <c r="F432" s="367">
        <f t="shared" si="52"/>
        <v>0</v>
      </c>
      <c r="G432" s="367">
        <v>113000</v>
      </c>
      <c r="H432" s="354">
        <f t="shared" si="51"/>
        <v>100</v>
      </c>
      <c r="I432" s="355">
        <f t="shared" si="49"/>
        <v>0.37097833223900195</v>
      </c>
      <c r="J432" s="377"/>
      <c r="K432" s="11"/>
      <c r="L432" s="11"/>
    </row>
    <row r="433" spans="1:12" ht="14.25" customHeight="1">
      <c r="A433" s="255" t="s">
        <v>651</v>
      </c>
      <c r="B433" s="234"/>
      <c r="C433" s="378">
        <v>412900</v>
      </c>
      <c r="D433" s="379" t="s">
        <v>518</v>
      </c>
      <c r="E433" s="367">
        <v>6000</v>
      </c>
      <c r="F433" s="367">
        <f t="shared" si="52"/>
        <v>3000</v>
      </c>
      <c r="G433" s="367">
        <v>9000</v>
      </c>
      <c r="H433" s="354">
        <f t="shared" si="51"/>
        <v>150</v>
      </c>
      <c r="I433" s="355">
        <f t="shared" si="49"/>
        <v>0.02954694681549573</v>
      </c>
      <c r="J433" s="377"/>
      <c r="K433" s="11"/>
      <c r="L433" s="11"/>
    </row>
    <row r="434" spans="1:12" ht="27" customHeight="1">
      <c r="A434" s="255" t="s">
        <v>651</v>
      </c>
      <c r="B434" s="234"/>
      <c r="C434" s="378">
        <v>412900</v>
      </c>
      <c r="D434" s="380" t="s">
        <v>519</v>
      </c>
      <c r="E434" s="367">
        <v>9600</v>
      </c>
      <c r="F434" s="367">
        <f t="shared" si="52"/>
        <v>0</v>
      </c>
      <c r="G434" s="367">
        <v>9600</v>
      </c>
      <c r="H434" s="354">
        <f t="shared" si="51"/>
        <v>100</v>
      </c>
      <c r="I434" s="355">
        <f t="shared" si="49"/>
        <v>0.03151674326986212</v>
      </c>
      <c r="J434" s="377"/>
      <c r="K434" s="11"/>
      <c r="L434" s="11"/>
    </row>
    <row r="435" spans="1:12" ht="12.75" customHeight="1" hidden="1">
      <c r="A435" s="255"/>
      <c r="B435" s="234" t="s">
        <v>520</v>
      </c>
      <c r="C435" s="171"/>
      <c r="D435" s="376" t="s">
        <v>129</v>
      </c>
      <c r="E435" s="361">
        <f>SUM(E436)</f>
        <v>0</v>
      </c>
      <c r="F435" s="361">
        <f>SUM(F436)</f>
        <v>0</v>
      </c>
      <c r="G435" s="361">
        <f>SUM(G436)</f>
        <v>0</v>
      </c>
      <c r="H435" s="362" t="e">
        <f t="shared" si="51"/>
        <v>#DIV/0!</v>
      </c>
      <c r="I435" s="363">
        <f t="shared" si="49"/>
        <v>0</v>
      </c>
      <c r="J435" s="377"/>
      <c r="K435" s="11"/>
      <c r="L435" s="11"/>
    </row>
    <row r="436" spans="1:12" ht="22.5" customHeight="1" hidden="1">
      <c r="A436" s="255" t="s">
        <v>546</v>
      </c>
      <c r="B436" s="234"/>
      <c r="C436" s="171">
        <v>413300</v>
      </c>
      <c r="D436" s="171" t="s">
        <v>527</v>
      </c>
      <c r="E436" s="367">
        <v>0</v>
      </c>
      <c r="F436" s="367">
        <v>0</v>
      </c>
      <c r="G436" s="367">
        <v>0</v>
      </c>
      <c r="H436" s="362" t="e">
        <f t="shared" si="51"/>
        <v>#DIV/0!</v>
      </c>
      <c r="I436" s="363">
        <f t="shared" si="49"/>
        <v>0</v>
      </c>
      <c r="J436" s="377"/>
      <c r="K436" s="11"/>
      <c r="L436" s="11"/>
    </row>
    <row r="437" spans="1:12" ht="25.5">
      <c r="A437" s="255"/>
      <c r="B437" s="252" t="s">
        <v>521</v>
      </c>
      <c r="C437" s="171"/>
      <c r="D437" s="278" t="s">
        <v>522</v>
      </c>
      <c r="E437" s="437">
        <f>SUM(E438:E439)</f>
        <v>11600</v>
      </c>
      <c r="F437" s="437">
        <f>SUM(F438:F439)</f>
        <v>-5600</v>
      </c>
      <c r="G437" s="437">
        <f>SUM(G438:G439)</f>
        <v>6000</v>
      </c>
      <c r="H437" s="362">
        <f t="shared" si="51"/>
        <v>51.724137931034484</v>
      </c>
      <c r="I437" s="363">
        <f aca="true" t="shared" si="53" ref="I437:I464">G437/$G$604*100</f>
        <v>0.01969796454366382</v>
      </c>
      <c r="J437" s="377"/>
      <c r="K437" s="11"/>
      <c r="L437" s="11"/>
    </row>
    <row r="438" spans="1:12" ht="12.75">
      <c r="A438" s="255" t="s">
        <v>651</v>
      </c>
      <c r="B438" s="234"/>
      <c r="C438" s="171">
        <v>418100</v>
      </c>
      <c r="D438" s="380" t="s">
        <v>528</v>
      </c>
      <c r="E438" s="367">
        <v>5600</v>
      </c>
      <c r="F438" s="367">
        <f>G438-E438</f>
        <v>-5600</v>
      </c>
      <c r="G438" s="367">
        <v>0</v>
      </c>
      <c r="H438" s="354">
        <f t="shared" si="51"/>
        <v>0</v>
      </c>
      <c r="I438" s="355">
        <f t="shared" si="53"/>
        <v>0</v>
      </c>
      <c r="J438" s="377"/>
      <c r="K438" s="11"/>
      <c r="L438" s="11"/>
    </row>
    <row r="439" spans="1:12" ht="14.25" customHeight="1">
      <c r="A439" s="255" t="s">
        <v>651</v>
      </c>
      <c r="B439" s="234"/>
      <c r="C439" s="171">
        <v>418200</v>
      </c>
      <c r="D439" s="380" t="s">
        <v>562</v>
      </c>
      <c r="E439" s="367">
        <v>6000</v>
      </c>
      <c r="F439" s="367">
        <f>G439-E439</f>
        <v>0</v>
      </c>
      <c r="G439" s="367">
        <v>6000</v>
      </c>
      <c r="H439" s="354">
        <f t="shared" si="51"/>
        <v>100</v>
      </c>
      <c r="I439" s="355">
        <f t="shared" si="53"/>
        <v>0.01969796454366382</v>
      </c>
      <c r="J439" s="377"/>
      <c r="K439" s="11"/>
      <c r="L439" s="11"/>
    </row>
    <row r="440" spans="1:12" ht="12.75" customHeight="1" hidden="1">
      <c r="A440" s="255"/>
      <c r="B440" s="234" t="s">
        <v>366</v>
      </c>
      <c r="C440" s="171"/>
      <c r="D440" s="278" t="s">
        <v>309</v>
      </c>
      <c r="E440" s="361">
        <f>SUM(E441)</f>
        <v>0</v>
      </c>
      <c r="F440" s="367">
        <f>G440-E440</f>
        <v>0</v>
      </c>
      <c r="G440" s="361">
        <f>SUM(G441)</f>
        <v>0</v>
      </c>
      <c r="H440" s="362" t="e">
        <f t="shared" si="51"/>
        <v>#DIV/0!</v>
      </c>
      <c r="I440" s="363">
        <f t="shared" si="53"/>
        <v>0</v>
      </c>
      <c r="J440" s="377"/>
      <c r="K440" s="414"/>
      <c r="L440" s="11"/>
    </row>
    <row r="441" spans="1:12" ht="14.25" customHeight="1" hidden="1">
      <c r="A441" s="255" t="s">
        <v>546</v>
      </c>
      <c r="B441" s="234"/>
      <c r="C441" s="171">
        <v>419100</v>
      </c>
      <c r="D441" s="380" t="s">
        <v>309</v>
      </c>
      <c r="E441" s="367">
        <v>0</v>
      </c>
      <c r="F441" s="367">
        <f>G441-E441</f>
        <v>0</v>
      </c>
      <c r="G441" s="367">
        <v>0</v>
      </c>
      <c r="H441" s="362" t="e">
        <f t="shared" si="51"/>
        <v>#DIV/0!</v>
      </c>
      <c r="I441" s="363">
        <f t="shared" si="53"/>
        <v>0</v>
      </c>
      <c r="J441" s="377"/>
      <c r="K441" s="414"/>
      <c r="L441" s="11"/>
    </row>
    <row r="442" spans="1:12" ht="12.75" customHeight="1">
      <c r="A442" s="255"/>
      <c r="B442" s="357" t="s">
        <v>529</v>
      </c>
      <c r="C442" s="171"/>
      <c r="D442" s="382" t="s">
        <v>523</v>
      </c>
      <c r="E442" s="437">
        <f>SUM(E443:E446)</f>
        <v>70000</v>
      </c>
      <c r="F442" s="437">
        <f>SUM(F443:F446)</f>
        <v>132000</v>
      </c>
      <c r="G442" s="437">
        <f>SUM(G443:G446)</f>
        <v>202000</v>
      </c>
      <c r="H442" s="362">
        <f t="shared" si="51"/>
        <v>288.57142857142856</v>
      </c>
      <c r="I442" s="363">
        <f t="shared" si="53"/>
        <v>0.6631648063033487</v>
      </c>
      <c r="J442" s="377"/>
      <c r="K442" s="11"/>
      <c r="L442" s="11"/>
    </row>
    <row r="443" spans="1:12" ht="22.5" customHeight="1">
      <c r="A443" s="255" t="s">
        <v>651</v>
      </c>
      <c r="B443" s="234"/>
      <c r="C443" s="171">
        <v>511200</v>
      </c>
      <c r="D443" s="380" t="s">
        <v>139</v>
      </c>
      <c r="E443" s="367">
        <v>0</v>
      </c>
      <c r="F443" s="367">
        <f>G443-E443</f>
        <v>12000</v>
      </c>
      <c r="G443" s="367">
        <v>12000</v>
      </c>
      <c r="H443" s="354" t="e">
        <f t="shared" si="51"/>
        <v>#DIV/0!</v>
      </c>
      <c r="I443" s="355">
        <f t="shared" si="53"/>
        <v>0.03939592908732764</v>
      </c>
      <c r="J443" s="377"/>
      <c r="K443" s="11"/>
      <c r="L443" s="11"/>
    </row>
    <row r="444" spans="1:12" ht="14.25" customHeight="1">
      <c r="A444" s="255" t="s">
        <v>651</v>
      </c>
      <c r="B444" s="234"/>
      <c r="C444" s="171">
        <v>511300</v>
      </c>
      <c r="D444" s="380" t="s">
        <v>679</v>
      </c>
      <c r="E444" s="367">
        <v>0</v>
      </c>
      <c r="F444" s="367">
        <f>G444-E444</f>
        <v>182000</v>
      </c>
      <c r="G444" s="367">
        <v>182000</v>
      </c>
      <c r="H444" s="354" t="e">
        <f t="shared" si="51"/>
        <v>#DIV/0!</v>
      </c>
      <c r="I444" s="355">
        <f t="shared" si="53"/>
        <v>0.5975049244911359</v>
      </c>
      <c r="J444" s="377"/>
      <c r="K444" s="11"/>
      <c r="L444" s="11"/>
    </row>
    <row r="445" spans="1:12" ht="12.75" customHeight="1">
      <c r="A445" s="255" t="s">
        <v>651</v>
      </c>
      <c r="B445" s="234"/>
      <c r="C445" s="171">
        <v>511300</v>
      </c>
      <c r="D445" s="380" t="s">
        <v>530</v>
      </c>
      <c r="E445" s="367">
        <v>70000</v>
      </c>
      <c r="F445" s="367">
        <f>G445-E445</f>
        <v>-62000</v>
      </c>
      <c r="G445" s="367">
        <v>8000</v>
      </c>
      <c r="H445" s="354">
        <f t="shared" si="51"/>
        <v>11.428571428571429</v>
      </c>
      <c r="I445" s="355">
        <f t="shared" si="53"/>
        <v>0.026263952724885097</v>
      </c>
      <c r="J445" s="377"/>
      <c r="K445" s="11"/>
      <c r="L445" s="11"/>
    </row>
    <row r="446" spans="1:12" ht="12.75" customHeight="1" hidden="1">
      <c r="A446" s="255" t="s">
        <v>546</v>
      </c>
      <c r="B446" s="234"/>
      <c r="C446" s="171">
        <v>511700</v>
      </c>
      <c r="D446" s="380" t="s">
        <v>531</v>
      </c>
      <c r="E446" s="367">
        <v>0</v>
      </c>
      <c r="F446" s="367">
        <v>0</v>
      </c>
      <c r="G446" s="367">
        <v>0</v>
      </c>
      <c r="H446" s="362" t="e">
        <f t="shared" si="51"/>
        <v>#DIV/0!</v>
      </c>
      <c r="I446" s="363">
        <f t="shared" si="53"/>
        <v>0</v>
      </c>
      <c r="J446" s="377"/>
      <c r="K446" s="11"/>
      <c r="L446" s="11"/>
    </row>
    <row r="447" spans="1:12" ht="7.5" customHeight="1" hidden="1">
      <c r="A447" s="255"/>
      <c r="B447" s="357" t="s">
        <v>367</v>
      </c>
      <c r="C447" s="171"/>
      <c r="D447" s="382" t="s">
        <v>164</v>
      </c>
      <c r="E447" s="361">
        <f>SUM(E448)</f>
        <v>0</v>
      </c>
      <c r="F447" s="361">
        <f>SUM(F448)</f>
        <v>0</v>
      </c>
      <c r="G447" s="361">
        <f>SUM(G448)</f>
        <v>0</v>
      </c>
      <c r="H447" s="362" t="e">
        <f t="shared" si="51"/>
        <v>#DIV/0!</v>
      </c>
      <c r="I447" s="363">
        <f t="shared" si="53"/>
        <v>0</v>
      </c>
      <c r="J447" s="377"/>
      <c r="K447" s="11"/>
      <c r="L447" s="11"/>
    </row>
    <row r="448" spans="1:12" ht="12.75" customHeight="1" hidden="1">
      <c r="A448" s="255" t="s">
        <v>546</v>
      </c>
      <c r="B448" s="234"/>
      <c r="C448" s="171">
        <v>513700</v>
      </c>
      <c r="D448" s="380" t="s">
        <v>532</v>
      </c>
      <c r="E448" s="367">
        <v>0</v>
      </c>
      <c r="F448" s="367">
        <v>0</v>
      </c>
      <c r="G448" s="367">
        <v>0</v>
      </c>
      <c r="H448" s="362" t="e">
        <f t="shared" si="51"/>
        <v>#DIV/0!</v>
      </c>
      <c r="I448" s="363">
        <f t="shared" si="53"/>
        <v>0</v>
      </c>
      <c r="J448" s="377"/>
      <c r="K448" s="11"/>
      <c r="L448" s="11"/>
    </row>
    <row r="449" spans="1:12" ht="25.5" customHeight="1" hidden="1">
      <c r="A449" s="255"/>
      <c r="B449" s="357" t="s">
        <v>533</v>
      </c>
      <c r="C449" s="382"/>
      <c r="D449" s="382" t="s">
        <v>524</v>
      </c>
      <c r="E449" s="361">
        <f>SUM(E450:E451)</f>
        <v>0</v>
      </c>
      <c r="F449" s="361">
        <f>SUM(F450:F451)</f>
        <v>0</v>
      </c>
      <c r="G449" s="361">
        <f>SUM(G450:G451)</f>
        <v>0</v>
      </c>
      <c r="H449" s="362" t="e">
        <f t="shared" si="51"/>
        <v>#DIV/0!</v>
      </c>
      <c r="I449" s="363">
        <f t="shared" si="53"/>
        <v>0</v>
      </c>
      <c r="J449" s="377"/>
      <c r="K449" s="11"/>
      <c r="L449" s="11"/>
    </row>
    <row r="450" spans="1:12" ht="12.75" customHeight="1" hidden="1">
      <c r="A450" s="255" t="s">
        <v>546</v>
      </c>
      <c r="B450" s="234"/>
      <c r="C450" s="171">
        <v>516100</v>
      </c>
      <c r="D450" s="380" t="s">
        <v>534</v>
      </c>
      <c r="E450" s="367">
        <v>0</v>
      </c>
      <c r="F450" s="367">
        <v>0</v>
      </c>
      <c r="G450" s="367">
        <v>0</v>
      </c>
      <c r="H450" s="362" t="e">
        <f t="shared" si="51"/>
        <v>#DIV/0!</v>
      </c>
      <c r="I450" s="363">
        <f t="shared" si="53"/>
        <v>0</v>
      </c>
      <c r="J450" s="377"/>
      <c r="K450" s="11"/>
      <c r="L450" s="11"/>
    </row>
    <row r="451" spans="1:12" ht="12.75" customHeight="1" hidden="1">
      <c r="A451" s="255" t="s">
        <v>546</v>
      </c>
      <c r="B451" s="234"/>
      <c r="C451" s="171">
        <v>516100</v>
      </c>
      <c r="D451" s="380" t="s">
        <v>535</v>
      </c>
      <c r="E451" s="367">
        <v>0</v>
      </c>
      <c r="F451" s="367">
        <v>0</v>
      </c>
      <c r="G451" s="367">
        <v>0</v>
      </c>
      <c r="H451" s="362" t="e">
        <f t="shared" si="51"/>
        <v>#DIV/0!</v>
      </c>
      <c r="I451" s="363">
        <f t="shared" si="53"/>
        <v>0</v>
      </c>
      <c r="J451" s="377"/>
      <c r="K451" s="11"/>
      <c r="L451" s="11"/>
    </row>
    <row r="452" spans="1:12" ht="12.75" customHeight="1" hidden="1">
      <c r="A452" s="255"/>
      <c r="B452" s="357" t="s">
        <v>525</v>
      </c>
      <c r="C452" s="171"/>
      <c r="D452" s="382" t="s">
        <v>257</v>
      </c>
      <c r="E452" s="361">
        <f>SUM(E453)</f>
        <v>0</v>
      </c>
      <c r="F452" s="361">
        <f>SUM(F453)</f>
        <v>0</v>
      </c>
      <c r="G452" s="361">
        <f>SUM(G453)</f>
        <v>0</v>
      </c>
      <c r="H452" s="362" t="e">
        <f t="shared" si="51"/>
        <v>#DIV/0!</v>
      </c>
      <c r="I452" s="363">
        <f t="shared" si="53"/>
        <v>0</v>
      </c>
      <c r="J452" s="377"/>
      <c r="K452" s="11"/>
      <c r="L452" s="11"/>
    </row>
    <row r="453" spans="1:12" ht="12.75" customHeight="1" hidden="1">
      <c r="A453" s="255"/>
      <c r="B453" s="234"/>
      <c r="C453" s="171">
        <v>611000</v>
      </c>
      <c r="D453" s="380" t="s">
        <v>257</v>
      </c>
      <c r="E453" s="367">
        <v>0</v>
      </c>
      <c r="F453" s="367">
        <v>0</v>
      </c>
      <c r="G453" s="367">
        <v>0</v>
      </c>
      <c r="H453" s="362" t="e">
        <f t="shared" si="51"/>
        <v>#DIV/0!</v>
      </c>
      <c r="I453" s="363">
        <f t="shared" si="53"/>
        <v>0</v>
      </c>
      <c r="J453" s="377"/>
      <c r="K453" s="11"/>
      <c r="L453" s="11"/>
    </row>
    <row r="454" spans="1:12" ht="1.5" customHeight="1" hidden="1">
      <c r="A454" s="255"/>
      <c r="B454" s="383" t="s">
        <v>536</v>
      </c>
      <c r="C454" s="384"/>
      <c r="D454" s="382" t="s">
        <v>141</v>
      </c>
      <c r="E454" s="361">
        <f>SUM(E455:E456)</f>
        <v>0</v>
      </c>
      <c r="F454" s="361">
        <f>SUM(F455:F456)</f>
        <v>0</v>
      </c>
      <c r="G454" s="361">
        <f>SUM(G455:G456)</f>
        <v>0</v>
      </c>
      <c r="H454" s="362" t="e">
        <f t="shared" si="51"/>
        <v>#DIV/0!</v>
      </c>
      <c r="I454" s="363">
        <f t="shared" si="53"/>
        <v>0</v>
      </c>
      <c r="J454" s="377"/>
      <c r="K454" s="11"/>
      <c r="L454" s="11"/>
    </row>
    <row r="455" spans="1:12" ht="12.75" customHeight="1" hidden="1">
      <c r="A455" s="255"/>
      <c r="B455" s="234"/>
      <c r="C455" s="171">
        <v>621300</v>
      </c>
      <c r="D455" s="380" t="s">
        <v>540</v>
      </c>
      <c r="E455" s="367">
        <v>0</v>
      </c>
      <c r="F455" s="367">
        <v>0</v>
      </c>
      <c r="G455" s="367">
        <v>0</v>
      </c>
      <c r="H455" s="362" t="e">
        <f t="shared" si="51"/>
        <v>#DIV/0!</v>
      </c>
      <c r="I455" s="363">
        <f t="shared" si="53"/>
        <v>0</v>
      </c>
      <c r="J455" s="377"/>
      <c r="K455" s="11"/>
      <c r="L455" s="11"/>
    </row>
    <row r="456" spans="1:12" ht="12.75" customHeight="1" hidden="1">
      <c r="A456" s="255"/>
      <c r="B456" s="234"/>
      <c r="C456" s="171">
        <v>621900</v>
      </c>
      <c r="D456" s="380" t="s">
        <v>295</v>
      </c>
      <c r="E456" s="367">
        <v>0</v>
      </c>
      <c r="F456" s="367">
        <v>0</v>
      </c>
      <c r="G456" s="367">
        <v>0</v>
      </c>
      <c r="H456" s="362" t="e">
        <f t="shared" si="51"/>
        <v>#DIV/0!</v>
      </c>
      <c r="I456" s="363">
        <f t="shared" si="53"/>
        <v>0</v>
      </c>
      <c r="J456" s="377"/>
      <c r="K456" s="11"/>
      <c r="L456" s="11"/>
    </row>
    <row r="457" spans="1:12" s="360" customFormat="1" ht="23.25" customHeight="1">
      <c r="A457" s="255"/>
      <c r="B457" s="252" t="s">
        <v>537</v>
      </c>
      <c r="C457" s="384"/>
      <c r="D457" s="382" t="s">
        <v>526</v>
      </c>
      <c r="E457" s="437">
        <f>E458</f>
        <v>17000</v>
      </c>
      <c r="F457" s="437">
        <f>F458</f>
        <v>-17000</v>
      </c>
      <c r="G457" s="437">
        <f>G458</f>
        <v>0</v>
      </c>
      <c r="H457" s="362">
        <f t="shared" si="51"/>
        <v>0</v>
      </c>
      <c r="I457" s="363">
        <f t="shared" si="53"/>
        <v>0</v>
      </c>
      <c r="J457" s="377"/>
      <c r="K457" s="11"/>
      <c r="L457" s="414"/>
    </row>
    <row r="458" spans="1:12" s="360" customFormat="1" ht="19.5" customHeight="1">
      <c r="A458" s="255"/>
      <c r="B458" s="234"/>
      <c r="C458" s="171">
        <v>628100</v>
      </c>
      <c r="D458" s="380" t="s">
        <v>541</v>
      </c>
      <c r="E458" s="367">
        <v>17000</v>
      </c>
      <c r="F458" s="367">
        <f>G458-E458</f>
        <v>-17000</v>
      </c>
      <c r="G458" s="367">
        <v>0</v>
      </c>
      <c r="H458" s="354">
        <f t="shared" si="51"/>
        <v>0</v>
      </c>
      <c r="I458" s="355">
        <f t="shared" si="53"/>
        <v>0</v>
      </c>
      <c r="J458" s="377"/>
      <c r="K458" s="11"/>
      <c r="L458" s="414"/>
    </row>
    <row r="459" spans="1:12" ht="13.5">
      <c r="A459" s="255"/>
      <c r="B459" s="252" t="s">
        <v>538</v>
      </c>
      <c r="C459" s="384"/>
      <c r="D459" s="382" t="s">
        <v>318</v>
      </c>
      <c r="E459" s="437">
        <f>SUM(E460:E461)</f>
        <v>35000</v>
      </c>
      <c r="F459" s="437">
        <f>SUM(F460:F461)</f>
        <v>203000</v>
      </c>
      <c r="G459" s="437">
        <f>SUM(G460:G461)</f>
        <v>238000</v>
      </c>
      <c r="H459" s="362">
        <f t="shared" si="51"/>
        <v>680</v>
      </c>
      <c r="I459" s="363">
        <f t="shared" si="53"/>
        <v>0.7813525935653315</v>
      </c>
      <c r="J459" s="377"/>
      <c r="K459" s="11"/>
      <c r="L459" s="11"/>
    </row>
    <row r="460" spans="1:12" ht="12.75">
      <c r="A460" s="255"/>
      <c r="B460" s="234"/>
      <c r="C460" s="171">
        <v>631100</v>
      </c>
      <c r="D460" s="380" t="s">
        <v>542</v>
      </c>
      <c r="E460" s="367">
        <v>35000</v>
      </c>
      <c r="F460" s="367">
        <f>G460-E460</f>
        <v>0</v>
      </c>
      <c r="G460" s="367">
        <v>35000</v>
      </c>
      <c r="H460" s="354">
        <f t="shared" si="51"/>
        <v>100</v>
      </c>
      <c r="I460" s="355">
        <f t="shared" si="53"/>
        <v>0.1149047931713723</v>
      </c>
      <c r="J460" s="377"/>
      <c r="K460" s="11"/>
      <c r="L460" s="11"/>
    </row>
    <row r="461" spans="1:12" ht="12.75">
      <c r="A461" s="255"/>
      <c r="B461" s="234"/>
      <c r="C461" s="171">
        <v>631900</v>
      </c>
      <c r="D461" s="380" t="s">
        <v>667</v>
      </c>
      <c r="E461" s="367">
        <v>0</v>
      </c>
      <c r="F461" s="367">
        <f>G461-E461</f>
        <v>203000</v>
      </c>
      <c r="G461" s="367">
        <v>203000</v>
      </c>
      <c r="H461" s="354" t="e">
        <f t="shared" si="51"/>
        <v>#DIV/0!</v>
      </c>
      <c r="I461" s="355">
        <f t="shared" si="53"/>
        <v>0.6664478003939593</v>
      </c>
      <c r="J461" s="377"/>
      <c r="K461" s="11"/>
      <c r="L461" s="11"/>
    </row>
    <row r="462" spans="1:12" ht="25.5">
      <c r="A462" s="255"/>
      <c r="B462" s="252" t="s">
        <v>539</v>
      </c>
      <c r="C462" s="384"/>
      <c r="D462" s="382" t="s">
        <v>543</v>
      </c>
      <c r="E462" s="437">
        <f>SUM(E463)</f>
        <v>20000</v>
      </c>
      <c r="F462" s="437">
        <f>SUM(F463)</f>
        <v>0</v>
      </c>
      <c r="G462" s="437">
        <f>SUM(G463)</f>
        <v>20000</v>
      </c>
      <c r="H462" s="362">
        <f t="shared" si="51"/>
        <v>100</v>
      </c>
      <c r="I462" s="363">
        <f t="shared" si="53"/>
        <v>0.06565988181221273</v>
      </c>
      <c r="J462" s="377"/>
      <c r="K462" s="11"/>
      <c r="L462" s="11"/>
    </row>
    <row r="463" spans="1:12" ht="28.5" customHeight="1">
      <c r="A463" s="255"/>
      <c r="B463" s="234"/>
      <c r="C463" s="380">
        <v>638100</v>
      </c>
      <c r="D463" s="380" t="s">
        <v>544</v>
      </c>
      <c r="E463" s="367">
        <v>20000</v>
      </c>
      <c r="F463" s="367">
        <f>G463-E463</f>
        <v>0</v>
      </c>
      <c r="G463" s="367">
        <v>20000</v>
      </c>
      <c r="H463" s="354">
        <f t="shared" si="51"/>
        <v>100</v>
      </c>
      <c r="I463" s="355">
        <f t="shared" si="53"/>
        <v>0.06565988181221273</v>
      </c>
      <c r="J463" s="377"/>
      <c r="K463" s="11"/>
      <c r="L463" s="11"/>
    </row>
    <row r="464" spans="1:12" ht="23.25" customHeight="1">
      <c r="A464" s="255"/>
      <c r="B464" s="234"/>
      <c r="C464" s="507" t="s">
        <v>501</v>
      </c>
      <c r="D464" s="514"/>
      <c r="E464" s="364">
        <f>E405+E412+E435+E437+E440+E442+E447+E449+E452+E454+E457+E459+E462</f>
        <v>4468200</v>
      </c>
      <c r="F464" s="364">
        <f>F405+F412+F435+F437+F440+F442+F447+F449+F452+F454+F457+F459+F462</f>
        <v>454000</v>
      </c>
      <c r="G464" s="364">
        <f>G405+G412+G435+G437+G440+G442+G447+G449+G452+G454+G457+G459+G462</f>
        <v>4922200</v>
      </c>
      <c r="H464" s="365">
        <f t="shared" si="51"/>
        <v>110.16069110603823</v>
      </c>
      <c r="I464" s="366">
        <f t="shared" si="53"/>
        <v>16.159553512803676</v>
      </c>
      <c r="J464" s="377"/>
      <c r="K464" s="12"/>
      <c r="L464" s="11"/>
    </row>
    <row r="465" spans="1:12" ht="9.75" customHeight="1">
      <c r="A465" s="515"/>
      <c r="B465" s="516"/>
      <c r="C465" s="521" t="s">
        <v>592</v>
      </c>
      <c r="D465" s="513"/>
      <c r="E465" s="163"/>
      <c r="F465" s="163"/>
      <c r="G465" s="163"/>
      <c r="H465" s="163"/>
      <c r="I465" s="164"/>
      <c r="J465" s="6"/>
      <c r="K465" s="11"/>
      <c r="L465" s="11"/>
    </row>
    <row r="466" spans="1:12" ht="9.75" customHeight="1">
      <c r="A466" s="515"/>
      <c r="B466" s="516"/>
      <c r="C466" s="512"/>
      <c r="D466" s="513"/>
      <c r="E466" s="165"/>
      <c r="F466" s="165"/>
      <c r="G466" s="165"/>
      <c r="H466" s="165"/>
      <c r="I466" s="166"/>
      <c r="J466" s="6"/>
      <c r="K466" s="11"/>
      <c r="L466" s="11"/>
    </row>
    <row r="467" spans="1:12" ht="23.25" customHeight="1">
      <c r="A467" s="515"/>
      <c r="B467" s="516"/>
      <c r="C467" s="512"/>
      <c r="D467" s="513"/>
      <c r="E467" s="167"/>
      <c r="F467" s="167"/>
      <c r="G467" s="167"/>
      <c r="H467" s="167"/>
      <c r="I467" s="168"/>
      <c r="J467" s="6"/>
      <c r="K467" s="11"/>
      <c r="L467" s="11"/>
    </row>
    <row r="468" spans="1:12" ht="14.25" customHeight="1">
      <c r="A468" s="134"/>
      <c r="B468" s="57">
        <v>411000</v>
      </c>
      <c r="C468" s="51"/>
      <c r="D468" s="83" t="s">
        <v>325</v>
      </c>
      <c r="E468" s="150">
        <f>SUM(E469)</f>
        <v>18000</v>
      </c>
      <c r="F468" s="150">
        <f>SUM(F469)</f>
        <v>0</v>
      </c>
      <c r="G468" s="150">
        <f>SUM(G469)</f>
        <v>18000</v>
      </c>
      <c r="H468" s="150">
        <f>G468/E468*100</f>
        <v>100</v>
      </c>
      <c r="I468" s="186">
        <f aca="true" t="shared" si="54" ref="I468:I485">G468/$G$604*100</f>
        <v>0.05909389363099146</v>
      </c>
      <c r="J468" s="6"/>
      <c r="K468" s="11"/>
      <c r="L468" s="11"/>
    </row>
    <row r="469" spans="1:12" ht="24.75" customHeight="1">
      <c r="A469" s="134" t="s">
        <v>27</v>
      </c>
      <c r="B469" s="137"/>
      <c r="C469" s="71">
        <v>411200</v>
      </c>
      <c r="D469" s="77" t="s">
        <v>326</v>
      </c>
      <c r="E469" s="157">
        <v>18000</v>
      </c>
      <c r="F469" s="157">
        <f>G469-E469</f>
        <v>0</v>
      </c>
      <c r="G469" s="157">
        <v>18000</v>
      </c>
      <c r="H469" s="153">
        <f aca="true" t="shared" si="55" ref="H469:H485">G469/E469*100</f>
        <v>100</v>
      </c>
      <c r="I469" s="435">
        <f t="shared" si="54"/>
        <v>0.05909389363099146</v>
      </c>
      <c r="J469" s="6"/>
      <c r="K469" s="11"/>
      <c r="L469" s="11"/>
    </row>
    <row r="470" spans="1:12" ht="14.25" customHeight="1">
      <c r="A470" s="134"/>
      <c r="B470" s="57">
        <v>412000</v>
      </c>
      <c r="C470" s="71"/>
      <c r="D470" s="83" t="s">
        <v>119</v>
      </c>
      <c r="E470" s="188">
        <f>SUM(E471:E480)</f>
        <v>53200</v>
      </c>
      <c r="F470" s="188">
        <f>SUM(F471:F480)</f>
        <v>26445</v>
      </c>
      <c r="G470" s="188">
        <f>SUM(G471:G480)</f>
        <v>79645</v>
      </c>
      <c r="H470" s="150">
        <f t="shared" si="55"/>
        <v>149.70864661654136</v>
      </c>
      <c r="I470" s="186">
        <f t="shared" si="54"/>
        <v>0.2614740643466842</v>
      </c>
      <c r="J470" s="6"/>
      <c r="K470" s="11"/>
      <c r="L470" s="11"/>
    </row>
    <row r="471" spans="1:12" ht="24.75" customHeight="1">
      <c r="A471" s="134" t="s">
        <v>27</v>
      </c>
      <c r="B471" s="57"/>
      <c r="C471" s="71">
        <v>412200</v>
      </c>
      <c r="D471" s="93" t="s">
        <v>121</v>
      </c>
      <c r="E471" s="159">
        <v>35000</v>
      </c>
      <c r="F471" s="159">
        <f>G471-E471</f>
        <v>22000</v>
      </c>
      <c r="G471" s="159">
        <v>57000</v>
      </c>
      <c r="H471" s="153">
        <f t="shared" si="55"/>
        <v>162.85714285714286</v>
      </c>
      <c r="I471" s="435">
        <f t="shared" si="54"/>
        <v>0.18713066316480628</v>
      </c>
      <c r="J471" s="6"/>
      <c r="K471" s="11"/>
      <c r="L471" s="11"/>
    </row>
    <row r="472" spans="1:12" ht="12.75">
      <c r="A472" s="134" t="s">
        <v>27</v>
      </c>
      <c r="B472" s="57"/>
      <c r="C472" s="71">
        <v>412300</v>
      </c>
      <c r="D472" s="137" t="s">
        <v>122</v>
      </c>
      <c r="E472" s="157">
        <v>3500</v>
      </c>
      <c r="F472" s="159">
        <f aca="true" t="shared" si="56" ref="F472:F480">G472-E472</f>
        <v>0</v>
      </c>
      <c r="G472" s="157">
        <v>3500</v>
      </c>
      <c r="H472" s="153">
        <f t="shared" si="55"/>
        <v>100</v>
      </c>
      <c r="I472" s="435">
        <f t="shared" si="54"/>
        <v>0.01149047931713723</v>
      </c>
      <c r="J472" s="6"/>
      <c r="K472" s="11"/>
      <c r="L472" s="11"/>
    </row>
    <row r="473" spans="1:12" ht="12.75">
      <c r="A473" s="134" t="s">
        <v>27</v>
      </c>
      <c r="B473" s="57"/>
      <c r="C473" s="71">
        <v>412400</v>
      </c>
      <c r="D473" s="93" t="s">
        <v>123</v>
      </c>
      <c r="E473" s="157">
        <v>4000</v>
      </c>
      <c r="F473" s="159">
        <f t="shared" si="56"/>
        <v>0</v>
      </c>
      <c r="G473" s="157">
        <v>4000</v>
      </c>
      <c r="H473" s="153">
        <f t="shared" si="55"/>
        <v>100</v>
      </c>
      <c r="I473" s="435">
        <f t="shared" si="54"/>
        <v>0.013131976362442548</v>
      </c>
      <c r="J473" s="6"/>
      <c r="K473" s="11"/>
      <c r="L473" s="11"/>
    </row>
    <row r="474" spans="1:12" ht="12.75">
      <c r="A474" s="134" t="s">
        <v>27</v>
      </c>
      <c r="B474" s="57"/>
      <c r="C474" s="71">
        <v>412500</v>
      </c>
      <c r="D474" s="137" t="s">
        <v>124</v>
      </c>
      <c r="E474" s="157">
        <v>3500</v>
      </c>
      <c r="F474" s="159">
        <f t="shared" si="56"/>
        <v>1500</v>
      </c>
      <c r="G474" s="157">
        <v>5000</v>
      </c>
      <c r="H474" s="153">
        <f t="shared" si="55"/>
        <v>142.85714285714286</v>
      </c>
      <c r="I474" s="435">
        <f t="shared" si="54"/>
        <v>0.016414970453053183</v>
      </c>
      <c r="J474" s="6"/>
      <c r="K474" s="11"/>
      <c r="L474" s="11"/>
    </row>
    <row r="475" spans="1:12" ht="12.75">
      <c r="A475" s="134" t="s">
        <v>27</v>
      </c>
      <c r="B475" s="57"/>
      <c r="C475" s="71">
        <v>412500</v>
      </c>
      <c r="D475" s="137" t="s">
        <v>660</v>
      </c>
      <c r="E475" s="157">
        <v>0</v>
      </c>
      <c r="F475" s="159">
        <f t="shared" si="56"/>
        <v>1500</v>
      </c>
      <c r="G475" s="157">
        <v>1500</v>
      </c>
      <c r="H475" s="153" t="e">
        <f t="shared" si="55"/>
        <v>#DIV/0!</v>
      </c>
      <c r="I475" s="435">
        <f t="shared" si="54"/>
        <v>0.004924491135915955</v>
      </c>
      <c r="J475" s="6"/>
      <c r="K475" s="11"/>
      <c r="L475" s="11"/>
    </row>
    <row r="476" spans="1:12" ht="12.75">
      <c r="A476" s="134" t="s">
        <v>27</v>
      </c>
      <c r="B476" s="57"/>
      <c r="C476" s="71">
        <v>412600</v>
      </c>
      <c r="D476" s="137" t="s">
        <v>125</v>
      </c>
      <c r="E476" s="157">
        <v>1200</v>
      </c>
      <c r="F476" s="159">
        <f t="shared" si="56"/>
        <v>1000</v>
      </c>
      <c r="G476" s="157">
        <v>2200</v>
      </c>
      <c r="H476" s="153">
        <f t="shared" si="55"/>
        <v>183.33333333333331</v>
      </c>
      <c r="I476" s="435">
        <f t="shared" si="54"/>
        <v>0.007222586999343402</v>
      </c>
      <c r="J476" s="6"/>
      <c r="K476" s="11"/>
      <c r="L476" s="11"/>
    </row>
    <row r="477" spans="1:12" ht="12.75">
      <c r="A477" s="134" t="s">
        <v>27</v>
      </c>
      <c r="B477" s="57"/>
      <c r="C477" s="137">
        <v>412700</v>
      </c>
      <c r="D477" s="137" t="s">
        <v>126</v>
      </c>
      <c r="E477" s="157">
        <v>3500</v>
      </c>
      <c r="F477" s="159">
        <f t="shared" si="56"/>
        <v>0</v>
      </c>
      <c r="G477" s="157">
        <v>3500</v>
      </c>
      <c r="H477" s="153">
        <f t="shared" si="55"/>
        <v>100</v>
      </c>
      <c r="I477" s="435">
        <f t="shared" si="54"/>
        <v>0.01149047931713723</v>
      </c>
      <c r="J477" s="6"/>
      <c r="K477" s="11"/>
      <c r="L477" s="11"/>
    </row>
    <row r="478" spans="1:12" ht="12.75" customHeight="1" hidden="1">
      <c r="A478" s="134" t="s">
        <v>27</v>
      </c>
      <c r="B478" s="57"/>
      <c r="C478" s="137">
        <v>412700</v>
      </c>
      <c r="D478" s="137" t="s">
        <v>480</v>
      </c>
      <c r="E478" s="159"/>
      <c r="F478" s="159">
        <f t="shared" si="56"/>
        <v>0</v>
      </c>
      <c r="G478" s="159"/>
      <c r="H478" s="153" t="e">
        <f t="shared" si="55"/>
        <v>#DIV/0!</v>
      </c>
      <c r="I478" s="435">
        <f t="shared" si="54"/>
        <v>0</v>
      </c>
      <c r="J478" s="6"/>
      <c r="K478" s="11"/>
      <c r="L478" s="11"/>
    </row>
    <row r="479" spans="1:12" ht="15.75" customHeight="1">
      <c r="A479" s="134" t="s">
        <v>27</v>
      </c>
      <c r="B479" s="57"/>
      <c r="C479" s="137">
        <v>412900</v>
      </c>
      <c r="D479" s="137" t="s">
        <v>128</v>
      </c>
      <c r="E479" s="157">
        <v>2500</v>
      </c>
      <c r="F479" s="159">
        <f t="shared" si="56"/>
        <v>-500</v>
      </c>
      <c r="G479" s="157">
        <v>2000</v>
      </c>
      <c r="H479" s="153">
        <f t="shared" si="55"/>
        <v>80</v>
      </c>
      <c r="I479" s="435">
        <f t="shared" si="54"/>
        <v>0.006565988181221274</v>
      </c>
      <c r="J479" s="6"/>
      <c r="K479" s="11"/>
      <c r="L479" s="11"/>
    </row>
    <row r="480" spans="1:12" ht="15.75" customHeight="1">
      <c r="A480" s="134" t="s">
        <v>27</v>
      </c>
      <c r="B480" s="57"/>
      <c r="C480" s="137">
        <v>412900</v>
      </c>
      <c r="D480" s="137" t="s">
        <v>661</v>
      </c>
      <c r="E480" s="157">
        <v>0</v>
      </c>
      <c r="F480" s="159">
        <f t="shared" si="56"/>
        <v>945</v>
      </c>
      <c r="G480" s="157">
        <v>945</v>
      </c>
      <c r="H480" s="153" t="e">
        <f t="shared" si="55"/>
        <v>#DIV/0!</v>
      </c>
      <c r="I480" s="435">
        <f t="shared" si="54"/>
        <v>0.003102429415627052</v>
      </c>
      <c r="J480" s="6"/>
      <c r="K480" s="11"/>
      <c r="L480" s="11"/>
    </row>
    <row r="481" spans="1:12" ht="14.25" customHeight="1">
      <c r="A481" s="134"/>
      <c r="B481" s="57">
        <v>511000</v>
      </c>
      <c r="C481" s="137"/>
      <c r="D481" s="148" t="s">
        <v>137</v>
      </c>
      <c r="E481" s="188">
        <f>SUM(E482:E482)</f>
        <v>3000</v>
      </c>
      <c r="F481" s="188">
        <f>SUM(F482:F482)</f>
        <v>-2000</v>
      </c>
      <c r="G481" s="188">
        <f>SUM(G482:G482)</f>
        <v>1000</v>
      </c>
      <c r="H481" s="150">
        <f t="shared" si="55"/>
        <v>33.33333333333333</v>
      </c>
      <c r="I481" s="186">
        <f t="shared" si="54"/>
        <v>0.003282994090610637</v>
      </c>
      <c r="J481" s="6"/>
      <c r="K481" s="11"/>
      <c r="L481" s="11"/>
    </row>
    <row r="482" spans="1:12" ht="12.75">
      <c r="A482" s="134" t="s">
        <v>27</v>
      </c>
      <c r="B482" s="137"/>
      <c r="C482" s="137">
        <v>511300</v>
      </c>
      <c r="D482" s="137" t="s">
        <v>2</v>
      </c>
      <c r="E482" s="157">
        <v>3000</v>
      </c>
      <c r="F482" s="157">
        <f>G482-E482</f>
        <v>-2000</v>
      </c>
      <c r="G482" s="157">
        <v>1000</v>
      </c>
      <c r="H482" s="153">
        <f t="shared" si="55"/>
        <v>33.33333333333333</v>
      </c>
      <c r="I482" s="435">
        <f t="shared" si="54"/>
        <v>0.003282994090610637</v>
      </c>
      <c r="J482" s="6"/>
      <c r="K482" s="11"/>
      <c r="L482" s="11"/>
    </row>
    <row r="483" spans="1:12" ht="17.25" customHeight="1">
      <c r="A483" s="141"/>
      <c r="B483" s="57">
        <v>516000</v>
      </c>
      <c r="C483" s="137"/>
      <c r="D483" s="148" t="s">
        <v>296</v>
      </c>
      <c r="E483" s="188">
        <f>SUM(E484)</f>
        <v>500</v>
      </c>
      <c r="F483" s="188">
        <f>SUM(F484)</f>
        <v>0</v>
      </c>
      <c r="G483" s="188">
        <f>SUM(G484)</f>
        <v>500</v>
      </c>
      <c r="H483" s="150">
        <f t="shared" si="55"/>
        <v>100</v>
      </c>
      <c r="I483" s="186">
        <f t="shared" si="54"/>
        <v>0.0016414970453053185</v>
      </c>
      <c r="J483" s="6"/>
      <c r="K483" s="11"/>
      <c r="L483" s="11"/>
    </row>
    <row r="484" spans="1:12" ht="12.75">
      <c r="A484" s="134" t="s">
        <v>27</v>
      </c>
      <c r="B484" s="137"/>
      <c r="C484" s="137">
        <v>516100</v>
      </c>
      <c r="D484" s="93" t="s">
        <v>285</v>
      </c>
      <c r="E484" s="157">
        <v>500</v>
      </c>
      <c r="F484" s="157">
        <f>G484-E484</f>
        <v>0</v>
      </c>
      <c r="G484" s="157">
        <v>500</v>
      </c>
      <c r="H484" s="153">
        <f t="shared" si="55"/>
        <v>100</v>
      </c>
      <c r="I484" s="435">
        <f t="shared" si="54"/>
        <v>0.0016414970453053185</v>
      </c>
      <c r="J484" s="6"/>
      <c r="K484" s="11"/>
      <c r="L484" s="11"/>
    </row>
    <row r="485" spans="1:12" ht="24.75" customHeight="1">
      <c r="A485" s="519"/>
      <c r="B485" s="520"/>
      <c r="C485" s="507" t="s">
        <v>87</v>
      </c>
      <c r="D485" s="507"/>
      <c r="E485" s="172">
        <f>E468+E470+E481+E483</f>
        <v>74700</v>
      </c>
      <c r="F485" s="172">
        <f>F468+F470+F481+F483</f>
        <v>24445</v>
      </c>
      <c r="G485" s="172">
        <f>G468+G470+G481+G483</f>
        <v>99145</v>
      </c>
      <c r="H485" s="390">
        <f t="shared" si="55"/>
        <v>132.72423025435074</v>
      </c>
      <c r="I485" s="366">
        <f t="shared" si="54"/>
        <v>0.3254924491135916</v>
      </c>
      <c r="J485" s="6"/>
      <c r="K485" s="11"/>
      <c r="L485" s="11"/>
    </row>
    <row r="486" spans="1:12" ht="9.75" customHeight="1">
      <c r="A486" s="519"/>
      <c r="B486" s="520"/>
      <c r="C486" s="521" t="s">
        <v>593</v>
      </c>
      <c r="D486" s="513"/>
      <c r="E486" s="202"/>
      <c r="F486" s="202"/>
      <c r="G486" s="202"/>
      <c r="H486" s="202"/>
      <c r="I486" s="203"/>
      <c r="J486" s="6"/>
      <c r="K486" s="12"/>
      <c r="L486" s="11"/>
    </row>
    <row r="487" spans="1:12" ht="30" customHeight="1">
      <c r="A487" s="519"/>
      <c r="B487" s="520"/>
      <c r="C487" s="512"/>
      <c r="D487" s="513"/>
      <c r="E487" s="206"/>
      <c r="F487" s="206"/>
      <c r="G487" s="206"/>
      <c r="H487" s="206"/>
      <c r="I487" s="207"/>
      <c r="J487" s="6"/>
      <c r="K487" s="11"/>
      <c r="L487" s="11"/>
    </row>
    <row r="488" spans="1:12" ht="14.25" customHeight="1">
      <c r="A488" s="228"/>
      <c r="B488" s="57">
        <v>411000</v>
      </c>
      <c r="C488" s="51"/>
      <c r="D488" s="83" t="s">
        <v>325</v>
      </c>
      <c r="E488" s="150">
        <f>SUM(E489)</f>
        <v>46240</v>
      </c>
      <c r="F488" s="150">
        <f>SUM(F489)</f>
        <v>0</v>
      </c>
      <c r="G488" s="150">
        <f>SUM(G489)</f>
        <v>46240</v>
      </c>
      <c r="H488" s="150">
        <f>G488/E488*100</f>
        <v>100</v>
      </c>
      <c r="I488" s="186">
        <f aca="true" t="shared" si="57" ref="I488:I509">G488/$G$604*100</f>
        <v>0.15180564674983585</v>
      </c>
      <c r="J488" s="6"/>
      <c r="K488" s="11"/>
      <c r="L488" s="11"/>
    </row>
    <row r="489" spans="1:12" ht="24" customHeight="1">
      <c r="A489" s="134" t="s">
        <v>52</v>
      </c>
      <c r="B489" s="137"/>
      <c r="C489" s="71">
        <v>411200</v>
      </c>
      <c r="D489" s="77" t="s">
        <v>326</v>
      </c>
      <c r="E489" s="157">
        <v>46240</v>
      </c>
      <c r="F489" s="157">
        <f>G489-E489</f>
        <v>0</v>
      </c>
      <c r="G489" s="157">
        <v>46240</v>
      </c>
      <c r="H489" s="153">
        <f aca="true" t="shared" si="58" ref="H489:H509">G489/E489*100</f>
        <v>100</v>
      </c>
      <c r="I489" s="435">
        <f t="shared" si="57"/>
        <v>0.15180564674983585</v>
      </c>
      <c r="J489" s="6"/>
      <c r="K489" s="11"/>
      <c r="L489" s="11"/>
    </row>
    <row r="490" spans="1:12" ht="14.25" customHeight="1">
      <c r="A490" s="228"/>
      <c r="B490" s="57">
        <v>412000</v>
      </c>
      <c r="C490" s="71"/>
      <c r="D490" s="83" t="s">
        <v>119</v>
      </c>
      <c r="E490" s="188">
        <f>SUM(E491:E499)</f>
        <v>53160</v>
      </c>
      <c r="F490" s="188">
        <f>SUM(F491:F499)</f>
        <v>2396.02</v>
      </c>
      <c r="G490" s="188">
        <f>SUM(G491:G499)</f>
        <v>55556.02</v>
      </c>
      <c r="H490" s="150">
        <f t="shared" si="58"/>
        <v>104.50718585402558</v>
      </c>
      <c r="I490" s="186">
        <f t="shared" si="57"/>
        <v>0.18239008535784634</v>
      </c>
      <c r="J490" s="6"/>
      <c r="K490" s="12"/>
      <c r="L490" s="11"/>
    </row>
    <row r="491" spans="1:12" ht="25.5">
      <c r="A491" s="134" t="s">
        <v>52</v>
      </c>
      <c r="B491" s="57"/>
      <c r="C491" s="71">
        <v>412200</v>
      </c>
      <c r="D491" s="93" t="s">
        <v>121</v>
      </c>
      <c r="E491" s="157">
        <v>21000</v>
      </c>
      <c r="F491" s="157">
        <f>G491-E491</f>
        <v>0</v>
      </c>
      <c r="G491" s="157">
        <v>21000</v>
      </c>
      <c r="H491" s="153">
        <f t="shared" si="58"/>
        <v>100</v>
      </c>
      <c r="I491" s="435">
        <f t="shared" si="57"/>
        <v>0.06894287590282337</v>
      </c>
      <c r="J491" s="6"/>
      <c r="K491" s="11"/>
      <c r="L491" s="11"/>
    </row>
    <row r="492" spans="1:12" ht="12.75">
      <c r="A492" s="134" t="s">
        <v>52</v>
      </c>
      <c r="B492" s="57"/>
      <c r="C492" s="71">
        <v>412300</v>
      </c>
      <c r="D492" s="137" t="s">
        <v>122</v>
      </c>
      <c r="E492" s="157">
        <v>3000</v>
      </c>
      <c r="F492" s="157">
        <f aca="true" t="shared" si="59" ref="F492:F503">G492-E492</f>
        <v>0</v>
      </c>
      <c r="G492" s="157">
        <v>3000</v>
      </c>
      <c r="H492" s="153">
        <f t="shared" si="58"/>
        <v>100</v>
      </c>
      <c r="I492" s="435">
        <f t="shared" si="57"/>
        <v>0.00984898227183191</v>
      </c>
      <c r="J492" s="6"/>
      <c r="K492" s="11"/>
      <c r="L492" s="11"/>
    </row>
    <row r="493" spans="1:12" ht="12.75">
      <c r="A493" s="134" t="s">
        <v>52</v>
      </c>
      <c r="B493" s="57"/>
      <c r="C493" s="71">
        <v>412400</v>
      </c>
      <c r="D493" s="93" t="s">
        <v>123</v>
      </c>
      <c r="E493" s="157">
        <v>9660</v>
      </c>
      <c r="F493" s="157">
        <f t="shared" si="59"/>
        <v>0</v>
      </c>
      <c r="G493" s="157">
        <v>9660</v>
      </c>
      <c r="H493" s="153">
        <f t="shared" si="58"/>
        <v>100</v>
      </c>
      <c r="I493" s="435">
        <f t="shared" si="57"/>
        <v>0.03171372291529875</v>
      </c>
      <c r="J493" s="6"/>
      <c r="K493" s="11"/>
      <c r="L493" s="11"/>
    </row>
    <row r="494" spans="1:12" ht="12.75">
      <c r="A494" s="134" t="s">
        <v>52</v>
      </c>
      <c r="B494" s="57"/>
      <c r="C494" s="71">
        <v>412500</v>
      </c>
      <c r="D494" s="137" t="s">
        <v>124</v>
      </c>
      <c r="E494" s="157">
        <v>5000</v>
      </c>
      <c r="F494" s="157">
        <f t="shared" si="59"/>
        <v>0</v>
      </c>
      <c r="G494" s="157">
        <v>5000</v>
      </c>
      <c r="H494" s="153">
        <f t="shared" si="58"/>
        <v>100</v>
      </c>
      <c r="I494" s="435">
        <f t="shared" si="57"/>
        <v>0.016414970453053183</v>
      </c>
      <c r="J494" s="6"/>
      <c r="K494" s="11"/>
      <c r="L494" s="11"/>
    </row>
    <row r="495" spans="1:12" ht="12.75">
      <c r="A495" s="134" t="s">
        <v>52</v>
      </c>
      <c r="B495" s="57"/>
      <c r="C495" s="71">
        <v>412600</v>
      </c>
      <c r="D495" s="137" t="s">
        <v>125</v>
      </c>
      <c r="E495" s="157">
        <v>1500</v>
      </c>
      <c r="F495" s="157">
        <f t="shared" si="59"/>
        <v>0</v>
      </c>
      <c r="G495" s="157">
        <v>1500</v>
      </c>
      <c r="H495" s="153">
        <f t="shared" si="58"/>
        <v>100</v>
      </c>
      <c r="I495" s="435">
        <f t="shared" si="57"/>
        <v>0.004924491135915955</v>
      </c>
      <c r="J495" s="6"/>
      <c r="K495" s="11"/>
      <c r="L495" s="11"/>
    </row>
    <row r="496" spans="1:12" ht="12.75">
      <c r="A496" s="134" t="s">
        <v>52</v>
      </c>
      <c r="B496" s="57"/>
      <c r="C496" s="137">
        <v>412700</v>
      </c>
      <c r="D496" s="137" t="s">
        <v>126</v>
      </c>
      <c r="E496" s="159">
        <v>9000</v>
      </c>
      <c r="F496" s="157">
        <f t="shared" si="59"/>
        <v>0</v>
      </c>
      <c r="G496" s="159">
        <v>9000</v>
      </c>
      <c r="H496" s="153">
        <f t="shared" si="58"/>
        <v>100</v>
      </c>
      <c r="I496" s="435">
        <f t="shared" si="57"/>
        <v>0.02954694681549573</v>
      </c>
      <c r="J496" s="6"/>
      <c r="K496" s="11"/>
      <c r="L496" s="11"/>
    </row>
    <row r="497" spans="1:12" ht="12.75">
      <c r="A497" s="134" t="s">
        <v>52</v>
      </c>
      <c r="B497" s="57"/>
      <c r="C497" s="137">
        <v>412900</v>
      </c>
      <c r="D497" s="137" t="s">
        <v>128</v>
      </c>
      <c r="E497" s="157">
        <v>4000</v>
      </c>
      <c r="F497" s="157">
        <f t="shared" si="59"/>
        <v>0</v>
      </c>
      <c r="G497" s="157">
        <v>4000</v>
      </c>
      <c r="H497" s="153">
        <f t="shared" si="58"/>
        <v>100</v>
      </c>
      <c r="I497" s="435">
        <f t="shared" si="57"/>
        <v>0.013131976362442548</v>
      </c>
      <c r="J497" s="6"/>
      <c r="K497" s="11"/>
      <c r="L497" s="11"/>
    </row>
    <row r="498" spans="1:12" ht="25.5">
      <c r="A498" s="134" t="s">
        <v>52</v>
      </c>
      <c r="B498" s="57"/>
      <c r="C498" s="137">
        <v>412900</v>
      </c>
      <c r="D498" s="93" t="s">
        <v>677</v>
      </c>
      <c r="E498" s="157">
        <v>0</v>
      </c>
      <c r="F498" s="157">
        <f t="shared" si="59"/>
        <v>400</v>
      </c>
      <c r="G498" s="157">
        <v>400</v>
      </c>
      <c r="H498" s="153" t="e">
        <f t="shared" si="58"/>
        <v>#DIV/0!</v>
      </c>
      <c r="I498" s="435">
        <f t="shared" si="57"/>
        <v>0.0013131976362442547</v>
      </c>
      <c r="J498" s="6"/>
      <c r="K498" s="11"/>
      <c r="L498" s="11"/>
    </row>
    <row r="499" spans="1:12" ht="12" customHeight="1">
      <c r="A499" s="134" t="s">
        <v>52</v>
      </c>
      <c r="B499" s="57"/>
      <c r="C499" s="137">
        <v>412900</v>
      </c>
      <c r="D499" s="137" t="s">
        <v>659</v>
      </c>
      <c r="E499" s="157">
        <v>0</v>
      </c>
      <c r="F499" s="157">
        <f t="shared" si="59"/>
        <v>1996.02</v>
      </c>
      <c r="G499" s="157">
        <v>1996.02</v>
      </c>
      <c r="H499" s="153" t="e">
        <f t="shared" si="58"/>
        <v>#DIV/0!</v>
      </c>
      <c r="I499" s="435">
        <f t="shared" si="57"/>
        <v>0.006552921864740643</v>
      </c>
      <c r="J499" s="6"/>
      <c r="K499" s="11"/>
      <c r="L499" s="11"/>
    </row>
    <row r="500" spans="1:12" ht="18.75" customHeight="1">
      <c r="A500" s="134"/>
      <c r="B500" s="57">
        <v>416100</v>
      </c>
      <c r="C500" s="137"/>
      <c r="D500" s="419" t="s">
        <v>669</v>
      </c>
      <c r="E500" s="244">
        <f>E501</f>
        <v>0</v>
      </c>
      <c r="F500" s="244">
        <f>F501</f>
        <v>14580</v>
      </c>
      <c r="G500" s="244">
        <f>G501</f>
        <v>14580</v>
      </c>
      <c r="H500" s="244" t="e">
        <f t="shared" si="58"/>
        <v>#DIV/0!</v>
      </c>
      <c r="I500" s="450">
        <f t="shared" si="57"/>
        <v>0.04786605384110309</v>
      </c>
      <c r="J500" s="6"/>
      <c r="K500" s="11"/>
      <c r="L500" s="11"/>
    </row>
    <row r="501" spans="1:12" ht="24.75" customHeight="1">
      <c r="A501" s="134" t="s">
        <v>52</v>
      </c>
      <c r="B501" s="57"/>
      <c r="C501" s="137">
        <v>416100</v>
      </c>
      <c r="D501" s="93" t="s">
        <v>670</v>
      </c>
      <c r="E501" s="157">
        <v>0</v>
      </c>
      <c r="F501" s="157">
        <f>G501-E501</f>
        <v>14580</v>
      </c>
      <c r="G501" s="157">
        <v>14580</v>
      </c>
      <c r="H501" s="153" t="e">
        <f t="shared" si="58"/>
        <v>#DIV/0!</v>
      </c>
      <c r="I501" s="435">
        <f t="shared" si="57"/>
        <v>0.04786605384110309</v>
      </c>
      <c r="J501" s="6"/>
      <c r="K501" s="11"/>
      <c r="L501" s="11"/>
    </row>
    <row r="502" spans="1:12" ht="13.5" customHeight="1" hidden="1">
      <c r="A502" s="134"/>
      <c r="B502" s="57">
        <v>419100</v>
      </c>
      <c r="C502" s="137"/>
      <c r="D502" s="160" t="s">
        <v>350</v>
      </c>
      <c r="E502" s="244"/>
      <c r="F502" s="157">
        <f t="shared" si="59"/>
        <v>0</v>
      </c>
      <c r="G502" s="244"/>
      <c r="H502" s="150" t="e">
        <f t="shared" si="58"/>
        <v>#DIV/0!</v>
      </c>
      <c r="I502" s="186">
        <f t="shared" si="57"/>
        <v>0</v>
      </c>
      <c r="J502" s="6"/>
      <c r="K502" s="11"/>
      <c r="L502" s="11"/>
    </row>
    <row r="503" spans="1:12" ht="15" customHeight="1" hidden="1">
      <c r="A503" s="134" t="s">
        <v>52</v>
      </c>
      <c r="B503" s="57"/>
      <c r="C503" s="137">
        <v>419100</v>
      </c>
      <c r="D503" s="137" t="s">
        <v>350</v>
      </c>
      <c r="E503" s="157"/>
      <c r="F503" s="157">
        <f t="shared" si="59"/>
        <v>0</v>
      </c>
      <c r="G503" s="157"/>
      <c r="H503" s="150" t="e">
        <f t="shared" si="58"/>
        <v>#DIV/0!</v>
      </c>
      <c r="I503" s="186">
        <f t="shared" si="57"/>
        <v>0</v>
      </c>
      <c r="J503" s="6"/>
      <c r="K503" s="11"/>
      <c r="L503" s="11"/>
    </row>
    <row r="504" spans="1:12" ht="14.25" customHeight="1">
      <c r="A504" s="134"/>
      <c r="B504" s="57">
        <v>511000</v>
      </c>
      <c r="C504" s="71"/>
      <c r="D504" s="148" t="s">
        <v>137</v>
      </c>
      <c r="E504" s="188">
        <f>SUM(E505:E506)</f>
        <v>5000</v>
      </c>
      <c r="F504" s="188">
        <f>SUM(F505:F506)</f>
        <v>25000</v>
      </c>
      <c r="G504" s="188">
        <f>SUM(G505:G506)</f>
        <v>30000</v>
      </c>
      <c r="H504" s="150">
        <f t="shared" si="58"/>
        <v>600</v>
      </c>
      <c r="I504" s="186">
        <f t="shared" si="57"/>
        <v>0.0984898227183191</v>
      </c>
      <c r="J504" s="6"/>
      <c r="K504" s="11"/>
      <c r="L504" s="11"/>
    </row>
    <row r="505" spans="1:12" ht="41.25" customHeight="1">
      <c r="A505" s="134" t="s">
        <v>52</v>
      </c>
      <c r="B505" s="57"/>
      <c r="C505" s="71">
        <v>511200</v>
      </c>
      <c r="D505" s="93" t="s">
        <v>699</v>
      </c>
      <c r="E505" s="157">
        <v>0</v>
      </c>
      <c r="F505" s="157">
        <f>G505-E505</f>
        <v>25000</v>
      </c>
      <c r="G505" s="157">
        <v>25000</v>
      </c>
      <c r="H505" s="153" t="e">
        <f t="shared" si="58"/>
        <v>#DIV/0!</v>
      </c>
      <c r="I505" s="435">
        <f t="shared" si="57"/>
        <v>0.08207485226526592</v>
      </c>
      <c r="J505" s="6"/>
      <c r="K505" s="11"/>
      <c r="L505" s="11"/>
    </row>
    <row r="506" spans="1:12" ht="15.75" customHeight="1">
      <c r="A506" s="134" t="s">
        <v>52</v>
      </c>
      <c r="B506" s="137"/>
      <c r="C506" s="71">
        <v>511300</v>
      </c>
      <c r="D506" s="137" t="s">
        <v>2</v>
      </c>
      <c r="E506" s="157">
        <v>5000</v>
      </c>
      <c r="F506" s="157">
        <f>G506-E506</f>
        <v>0</v>
      </c>
      <c r="G506" s="157">
        <v>5000</v>
      </c>
      <c r="H506" s="153">
        <f t="shared" si="58"/>
        <v>100</v>
      </c>
      <c r="I506" s="435">
        <f t="shared" si="57"/>
        <v>0.016414970453053183</v>
      </c>
      <c r="J506" s="6"/>
      <c r="K506" s="11"/>
      <c r="L506" s="11"/>
    </row>
    <row r="507" spans="1:12" ht="20.25" customHeight="1">
      <c r="A507" s="134"/>
      <c r="B507" s="57">
        <v>516000</v>
      </c>
      <c r="C507" s="71"/>
      <c r="D507" s="148" t="s">
        <v>296</v>
      </c>
      <c r="E507" s="188">
        <f>SUM(E508)</f>
        <v>500</v>
      </c>
      <c r="F507" s="188">
        <f>SUM(F508)</f>
        <v>0</v>
      </c>
      <c r="G507" s="188">
        <f>SUM(G508)</f>
        <v>500</v>
      </c>
      <c r="H507" s="150">
        <f t="shared" si="58"/>
        <v>100</v>
      </c>
      <c r="I507" s="186">
        <f t="shared" si="57"/>
        <v>0.0016414970453053185</v>
      </c>
      <c r="J507" s="6"/>
      <c r="K507" s="11"/>
      <c r="L507" s="11"/>
    </row>
    <row r="508" spans="1:12" ht="14.25" customHeight="1">
      <c r="A508" s="134" t="s">
        <v>52</v>
      </c>
      <c r="B508" s="137"/>
      <c r="C508" s="71">
        <v>516100</v>
      </c>
      <c r="D508" s="93" t="s">
        <v>285</v>
      </c>
      <c r="E508" s="157">
        <v>500</v>
      </c>
      <c r="F508" s="157">
        <f>G508-E508</f>
        <v>0</v>
      </c>
      <c r="G508" s="157">
        <v>500</v>
      </c>
      <c r="H508" s="153">
        <f t="shared" si="58"/>
        <v>100</v>
      </c>
      <c r="I508" s="435">
        <f t="shared" si="57"/>
        <v>0.0016414970453053185</v>
      </c>
      <c r="J508" s="6"/>
      <c r="K508" s="11"/>
      <c r="L508" s="11"/>
    </row>
    <row r="509" spans="1:12" ht="21.75" customHeight="1">
      <c r="A509" s="519"/>
      <c r="B509" s="520"/>
      <c r="C509" s="507" t="s">
        <v>88</v>
      </c>
      <c r="D509" s="514"/>
      <c r="E509" s="172">
        <f>E488+E490+E500+E504+E502+E507</f>
        <v>104900</v>
      </c>
      <c r="F509" s="172">
        <f>F488+F490+F500+F504+F502+F507</f>
        <v>41976.020000000004</v>
      </c>
      <c r="G509" s="172">
        <f>G488+G490+G500+G504+G502+G507</f>
        <v>146876.02</v>
      </c>
      <c r="H509" s="390">
        <f t="shared" si="58"/>
        <v>140.01527168732125</v>
      </c>
      <c r="I509" s="366">
        <f t="shared" si="57"/>
        <v>0.4821931057124097</v>
      </c>
      <c r="J509" s="6"/>
      <c r="K509" s="12"/>
      <c r="L509" s="11"/>
    </row>
    <row r="510" spans="1:12" ht="9.75" customHeight="1">
      <c r="A510" s="517"/>
      <c r="B510" s="518"/>
      <c r="C510" s="510" t="s">
        <v>594</v>
      </c>
      <c r="D510" s="511"/>
      <c r="E510" s="204"/>
      <c r="F510" s="204"/>
      <c r="G510" s="204"/>
      <c r="H510" s="204"/>
      <c r="I510" s="205"/>
      <c r="J510" s="6"/>
      <c r="K510" s="11"/>
      <c r="L510" s="11"/>
    </row>
    <row r="511" spans="1:12" ht="30" customHeight="1">
      <c r="A511" s="519"/>
      <c r="B511" s="520"/>
      <c r="C511" s="512"/>
      <c r="D511" s="513"/>
      <c r="E511" s="206"/>
      <c r="F511" s="206"/>
      <c r="G511" s="206"/>
      <c r="H511" s="206"/>
      <c r="I511" s="207"/>
      <c r="J511" s="6"/>
      <c r="K511" s="11"/>
      <c r="L511" s="11"/>
    </row>
    <row r="512" spans="1:12" ht="14.25" customHeight="1">
      <c r="A512" s="134"/>
      <c r="B512" s="57">
        <v>411000</v>
      </c>
      <c r="C512" s="137"/>
      <c r="D512" s="76" t="s">
        <v>325</v>
      </c>
      <c r="E512" s="149">
        <f>SUM(E513:E516)</f>
        <v>194000</v>
      </c>
      <c r="F512" s="149">
        <f>SUM(F513:F516)</f>
        <v>15000</v>
      </c>
      <c r="G512" s="149">
        <f>SUM(G513:G516)</f>
        <v>209000</v>
      </c>
      <c r="H512" s="150">
        <f>G512/E512*100</f>
        <v>107.73195876288659</v>
      </c>
      <c r="I512" s="186">
        <f aca="true" t="shared" si="60" ref="I512:I534">G512/$G$604*100</f>
        <v>0.6861457649376231</v>
      </c>
      <c r="J512" s="6"/>
      <c r="K512" s="11"/>
      <c r="L512" s="11"/>
    </row>
    <row r="513" spans="1:12" ht="12.75">
      <c r="A513" s="134" t="s">
        <v>31</v>
      </c>
      <c r="B513" s="137"/>
      <c r="C513" s="71">
        <v>411100</v>
      </c>
      <c r="D513" s="77" t="s">
        <v>321</v>
      </c>
      <c r="E513" s="157">
        <v>150000</v>
      </c>
      <c r="F513" s="157">
        <f>G513-E513</f>
        <v>10000</v>
      </c>
      <c r="G513" s="157">
        <v>160000</v>
      </c>
      <c r="H513" s="153">
        <f aca="true" t="shared" si="61" ref="H513:H534">G513/E513*100</f>
        <v>106.66666666666667</v>
      </c>
      <c r="I513" s="435">
        <f t="shared" si="60"/>
        <v>0.5252790544977018</v>
      </c>
      <c r="J513" s="6"/>
      <c r="K513" s="11"/>
      <c r="L513" s="11"/>
    </row>
    <row r="514" spans="1:12" ht="25.5">
      <c r="A514" s="134" t="s">
        <v>31</v>
      </c>
      <c r="B514" s="137"/>
      <c r="C514" s="71">
        <v>411200</v>
      </c>
      <c r="D514" s="77" t="s">
        <v>326</v>
      </c>
      <c r="E514" s="157">
        <v>40000</v>
      </c>
      <c r="F514" s="157">
        <f>G514-E514</f>
        <v>5000</v>
      </c>
      <c r="G514" s="157">
        <v>45000</v>
      </c>
      <c r="H514" s="153">
        <f t="shared" si="61"/>
        <v>112.5</v>
      </c>
      <c r="I514" s="435">
        <f t="shared" si="60"/>
        <v>0.14773473407747867</v>
      </c>
      <c r="J514" s="6"/>
      <c r="K514" s="11"/>
      <c r="L514" s="11"/>
    </row>
    <row r="515" spans="1:12" ht="25.5" customHeight="1">
      <c r="A515" s="134" t="s">
        <v>31</v>
      </c>
      <c r="B515" s="137"/>
      <c r="C515" s="71">
        <v>411300</v>
      </c>
      <c r="D515" s="77" t="s">
        <v>408</v>
      </c>
      <c r="E515" s="157">
        <v>2000</v>
      </c>
      <c r="F515" s="157">
        <f>G515-E515</f>
        <v>0</v>
      </c>
      <c r="G515" s="157">
        <v>2000</v>
      </c>
      <c r="H515" s="153">
        <f t="shared" si="61"/>
        <v>100</v>
      </c>
      <c r="I515" s="435">
        <f t="shared" si="60"/>
        <v>0.006565988181221274</v>
      </c>
      <c r="J515" s="6"/>
      <c r="K515" s="12"/>
      <c r="L515" s="11"/>
    </row>
    <row r="516" spans="1:12" ht="12.75">
      <c r="A516" s="134" t="s">
        <v>31</v>
      </c>
      <c r="B516" s="137"/>
      <c r="C516" s="71">
        <v>411400</v>
      </c>
      <c r="D516" s="78" t="s">
        <v>322</v>
      </c>
      <c r="E516" s="157">
        <v>2000</v>
      </c>
      <c r="F516" s="157">
        <f>G516-E516</f>
        <v>0</v>
      </c>
      <c r="G516" s="157">
        <v>2000</v>
      </c>
      <c r="H516" s="153">
        <f t="shared" si="61"/>
        <v>100</v>
      </c>
      <c r="I516" s="435">
        <f t="shared" si="60"/>
        <v>0.006565988181221274</v>
      </c>
      <c r="J516" s="6"/>
      <c r="K516" s="11"/>
      <c r="L516" s="11"/>
    </row>
    <row r="517" spans="1:12" ht="14.25" customHeight="1">
      <c r="A517" s="134"/>
      <c r="B517" s="57">
        <v>412000</v>
      </c>
      <c r="C517" s="71"/>
      <c r="D517" s="148" t="s">
        <v>119</v>
      </c>
      <c r="E517" s="188">
        <f>SUM(E518:E526)</f>
        <v>53200</v>
      </c>
      <c r="F517" s="188">
        <f>SUM(F518:F526)</f>
        <v>-4300</v>
      </c>
      <c r="G517" s="188">
        <f>SUM(G518:G526)</f>
        <v>48900</v>
      </c>
      <c r="H517" s="150">
        <f t="shared" si="61"/>
        <v>91.9172932330827</v>
      </c>
      <c r="I517" s="186">
        <f t="shared" si="60"/>
        <v>0.16053841103086014</v>
      </c>
      <c r="J517" s="6"/>
      <c r="K517" s="11"/>
      <c r="L517" s="11"/>
    </row>
    <row r="518" spans="1:12" ht="14.25" customHeight="1">
      <c r="A518" s="134" t="s">
        <v>31</v>
      </c>
      <c r="B518" s="57"/>
      <c r="C518" s="71">
        <v>412100</v>
      </c>
      <c r="D518" s="93" t="s">
        <v>419</v>
      </c>
      <c r="E518" s="159">
        <v>11000</v>
      </c>
      <c r="F518" s="159">
        <f>G518-E518</f>
        <v>-4300</v>
      </c>
      <c r="G518" s="159">
        <v>6700</v>
      </c>
      <c r="H518" s="153">
        <f t="shared" si="61"/>
        <v>60.909090909090914</v>
      </c>
      <c r="I518" s="435">
        <f t="shared" si="60"/>
        <v>0.021996060407091268</v>
      </c>
      <c r="J518" s="6"/>
      <c r="K518" s="11"/>
      <c r="L518" s="11"/>
    </row>
    <row r="519" spans="1:12" ht="25.5">
      <c r="A519" s="134" t="s">
        <v>31</v>
      </c>
      <c r="B519" s="57"/>
      <c r="C519" s="71">
        <v>412200</v>
      </c>
      <c r="D519" s="93" t="s">
        <v>121</v>
      </c>
      <c r="E519" s="157">
        <v>16000</v>
      </c>
      <c r="F519" s="159">
        <f aca="true" t="shared" si="62" ref="F519:F526">G519-E519</f>
        <v>0</v>
      </c>
      <c r="G519" s="157">
        <v>16000</v>
      </c>
      <c r="H519" s="153">
        <f t="shared" si="61"/>
        <v>100</v>
      </c>
      <c r="I519" s="435">
        <f t="shared" si="60"/>
        <v>0.05252790544977019</v>
      </c>
      <c r="J519" s="6"/>
      <c r="K519" s="11"/>
      <c r="L519" s="11"/>
    </row>
    <row r="520" spans="1:12" ht="12.75">
      <c r="A520" s="134" t="s">
        <v>31</v>
      </c>
      <c r="B520" s="57"/>
      <c r="C520" s="71">
        <v>412300</v>
      </c>
      <c r="D520" s="137" t="s">
        <v>122</v>
      </c>
      <c r="E520" s="157">
        <v>2000</v>
      </c>
      <c r="F520" s="159">
        <f t="shared" si="62"/>
        <v>0</v>
      </c>
      <c r="G520" s="157">
        <v>2000</v>
      </c>
      <c r="H520" s="153">
        <f t="shared" si="61"/>
        <v>100</v>
      </c>
      <c r="I520" s="435">
        <f t="shared" si="60"/>
        <v>0.006565988181221274</v>
      </c>
      <c r="J520" s="6"/>
      <c r="K520" s="11"/>
      <c r="L520" s="11"/>
    </row>
    <row r="521" spans="1:12" ht="12.75">
      <c r="A521" s="134" t="s">
        <v>31</v>
      </c>
      <c r="B521" s="57"/>
      <c r="C521" s="71">
        <v>412500</v>
      </c>
      <c r="D521" s="137" t="s">
        <v>124</v>
      </c>
      <c r="E521" s="157">
        <v>2000</v>
      </c>
      <c r="F521" s="159">
        <f t="shared" si="62"/>
        <v>0</v>
      </c>
      <c r="G521" s="157">
        <v>2000</v>
      </c>
      <c r="H521" s="153">
        <f t="shared" si="61"/>
        <v>100</v>
      </c>
      <c r="I521" s="435">
        <f t="shared" si="60"/>
        <v>0.006565988181221274</v>
      </c>
      <c r="J521" s="6"/>
      <c r="K521" s="11"/>
      <c r="L521" s="11"/>
    </row>
    <row r="522" spans="1:12" ht="12.75">
      <c r="A522" s="134" t="s">
        <v>31</v>
      </c>
      <c r="B522" s="57"/>
      <c r="C522" s="71">
        <v>412600</v>
      </c>
      <c r="D522" s="137" t="s">
        <v>125</v>
      </c>
      <c r="E522" s="157">
        <v>200</v>
      </c>
      <c r="F522" s="159">
        <f t="shared" si="62"/>
        <v>0</v>
      </c>
      <c r="G522" s="157">
        <v>200</v>
      </c>
      <c r="H522" s="153">
        <f t="shared" si="61"/>
        <v>100</v>
      </c>
      <c r="I522" s="435">
        <f t="shared" si="60"/>
        <v>0.0006565988181221273</v>
      </c>
      <c r="J522" s="6"/>
      <c r="K522" s="11"/>
      <c r="L522" s="11"/>
    </row>
    <row r="523" spans="1:12" ht="12.75" customHeight="1">
      <c r="A523" s="134" t="s">
        <v>31</v>
      </c>
      <c r="B523" s="57"/>
      <c r="C523" s="137">
        <v>412700</v>
      </c>
      <c r="D523" s="137" t="s">
        <v>169</v>
      </c>
      <c r="E523" s="159">
        <v>10000</v>
      </c>
      <c r="F523" s="159">
        <f t="shared" si="62"/>
        <v>0</v>
      </c>
      <c r="G523" s="159">
        <v>10000</v>
      </c>
      <c r="H523" s="153">
        <f t="shared" si="61"/>
        <v>100</v>
      </c>
      <c r="I523" s="435">
        <f t="shared" si="60"/>
        <v>0.032829940906106365</v>
      </c>
      <c r="J523" s="6"/>
      <c r="K523" s="11"/>
      <c r="L523" s="11"/>
    </row>
    <row r="524" spans="1:12" ht="15" customHeight="1" hidden="1">
      <c r="A524" s="134" t="s">
        <v>31</v>
      </c>
      <c r="B524" s="57"/>
      <c r="C524" s="137">
        <v>412700</v>
      </c>
      <c r="D524" s="93" t="s">
        <v>481</v>
      </c>
      <c r="E524" s="159"/>
      <c r="F524" s="159">
        <f t="shared" si="62"/>
        <v>0</v>
      </c>
      <c r="G524" s="159"/>
      <c r="H524" s="153" t="e">
        <f t="shared" si="61"/>
        <v>#DIV/0!</v>
      </c>
      <c r="I524" s="435">
        <f t="shared" si="60"/>
        <v>0</v>
      </c>
      <c r="J524" s="6"/>
      <c r="K524" s="11"/>
      <c r="L524" s="11"/>
    </row>
    <row r="525" spans="1:12" ht="14.25" customHeight="1">
      <c r="A525" s="134" t="s">
        <v>31</v>
      </c>
      <c r="B525" s="57"/>
      <c r="C525" s="137">
        <v>412700</v>
      </c>
      <c r="D525" s="93" t="s">
        <v>173</v>
      </c>
      <c r="E525" s="159">
        <v>6000</v>
      </c>
      <c r="F525" s="159">
        <f t="shared" si="62"/>
        <v>0</v>
      </c>
      <c r="G525" s="159">
        <v>6000</v>
      </c>
      <c r="H525" s="153">
        <f t="shared" si="61"/>
        <v>100</v>
      </c>
      <c r="I525" s="435">
        <f t="shared" si="60"/>
        <v>0.01969796454366382</v>
      </c>
      <c r="J525" s="6"/>
      <c r="K525" s="12"/>
      <c r="L525" s="11"/>
    </row>
    <row r="526" spans="1:12" ht="12" customHeight="1">
      <c r="A526" s="134" t="s">
        <v>31</v>
      </c>
      <c r="B526" s="57"/>
      <c r="C526" s="137">
        <v>412900</v>
      </c>
      <c r="D526" s="93" t="s">
        <v>128</v>
      </c>
      <c r="E526" s="331">
        <v>6000</v>
      </c>
      <c r="F526" s="159">
        <f t="shared" si="62"/>
        <v>0</v>
      </c>
      <c r="G526" s="331">
        <v>6000</v>
      </c>
      <c r="H526" s="153">
        <f t="shared" si="61"/>
        <v>100</v>
      </c>
      <c r="I526" s="435">
        <f t="shared" si="60"/>
        <v>0.01969796454366382</v>
      </c>
      <c r="J526" s="6"/>
      <c r="K526" s="11"/>
      <c r="L526" s="11"/>
    </row>
    <row r="527" spans="1:12" ht="11.25" customHeight="1">
      <c r="A527" s="134"/>
      <c r="B527" s="57">
        <v>511000</v>
      </c>
      <c r="C527" s="137"/>
      <c r="D527" s="148" t="s">
        <v>137</v>
      </c>
      <c r="E527" s="188">
        <f>SUM(E528:E529)</f>
        <v>2000</v>
      </c>
      <c r="F527" s="188">
        <f>SUM(F528:F529)</f>
        <v>5883</v>
      </c>
      <c r="G527" s="188">
        <f>SUM(G528:G529)</f>
        <v>7883</v>
      </c>
      <c r="H527" s="150">
        <f t="shared" si="61"/>
        <v>394.15</v>
      </c>
      <c r="I527" s="186">
        <f t="shared" si="60"/>
        <v>0.02587984241628365</v>
      </c>
      <c r="J527" s="6"/>
      <c r="K527" s="11"/>
      <c r="L527" s="11"/>
    </row>
    <row r="528" spans="1:12" ht="15" customHeight="1" hidden="1">
      <c r="A528" s="134" t="s">
        <v>31</v>
      </c>
      <c r="B528" s="137"/>
      <c r="C528" s="71">
        <v>511200</v>
      </c>
      <c r="D528" s="93" t="s">
        <v>148</v>
      </c>
      <c r="E528" s="159"/>
      <c r="F528" s="159"/>
      <c r="G528" s="159"/>
      <c r="H528" s="150" t="e">
        <f t="shared" si="61"/>
        <v>#DIV/0!</v>
      </c>
      <c r="I528" s="186">
        <f t="shared" si="60"/>
        <v>0</v>
      </c>
      <c r="J528" s="6"/>
      <c r="K528" s="11"/>
      <c r="L528" s="11"/>
    </row>
    <row r="529" spans="1:12" ht="12" customHeight="1">
      <c r="A529" s="134" t="s">
        <v>31</v>
      </c>
      <c r="B529" s="137"/>
      <c r="C529" s="71">
        <v>511300</v>
      </c>
      <c r="D529" s="93" t="s">
        <v>2</v>
      </c>
      <c r="E529" s="159">
        <v>2000</v>
      </c>
      <c r="F529" s="159">
        <f>G529-E529</f>
        <v>5883</v>
      </c>
      <c r="G529" s="159">
        <v>7883</v>
      </c>
      <c r="H529" s="153">
        <f t="shared" si="61"/>
        <v>394.15</v>
      </c>
      <c r="I529" s="435">
        <f t="shared" si="60"/>
        <v>0.02587984241628365</v>
      </c>
      <c r="J529" s="6"/>
      <c r="K529" s="11"/>
      <c r="L529" s="11"/>
    </row>
    <row r="530" spans="1:12" ht="16.5" customHeight="1">
      <c r="A530" s="134"/>
      <c r="B530" s="57">
        <v>516000</v>
      </c>
      <c r="C530" s="137"/>
      <c r="D530" s="148" t="s">
        <v>296</v>
      </c>
      <c r="E530" s="188">
        <f>SUM(E531:E531)</f>
        <v>40000</v>
      </c>
      <c r="F530" s="188">
        <f>SUM(F531:F531)</f>
        <v>-1583</v>
      </c>
      <c r="G530" s="188">
        <f>SUM(G531:G531)</f>
        <v>38417</v>
      </c>
      <c r="H530" s="150">
        <f t="shared" si="61"/>
        <v>96.0425</v>
      </c>
      <c r="I530" s="186">
        <f t="shared" si="60"/>
        <v>0.12612278397898885</v>
      </c>
      <c r="J530" s="6"/>
      <c r="K530" s="11"/>
      <c r="L530" s="11"/>
    </row>
    <row r="531" spans="1:12" ht="15.75" customHeight="1">
      <c r="A531" s="134" t="s">
        <v>31</v>
      </c>
      <c r="B531" s="57"/>
      <c r="C531" s="137">
        <v>516100</v>
      </c>
      <c r="D531" s="93" t="s">
        <v>166</v>
      </c>
      <c r="E531" s="153">
        <v>40000</v>
      </c>
      <c r="F531" s="153">
        <f>G531-E531</f>
        <v>-1583</v>
      </c>
      <c r="G531" s="153">
        <v>38417</v>
      </c>
      <c r="H531" s="153">
        <f t="shared" si="61"/>
        <v>96.0425</v>
      </c>
      <c r="I531" s="435">
        <f t="shared" si="60"/>
        <v>0.12612278397898885</v>
      </c>
      <c r="J531" s="6"/>
      <c r="K531" s="11"/>
      <c r="L531" s="11"/>
    </row>
    <row r="532" spans="1:12" ht="12.75">
      <c r="A532" s="134"/>
      <c r="B532" s="57">
        <v>638000</v>
      </c>
      <c r="C532" s="71"/>
      <c r="D532" s="148" t="s">
        <v>323</v>
      </c>
      <c r="E532" s="154">
        <f>SUM(E533)</f>
        <v>1000</v>
      </c>
      <c r="F532" s="154">
        <f>SUM(F533)</f>
        <v>0</v>
      </c>
      <c r="G532" s="154">
        <f>SUM(G533)</f>
        <v>1000</v>
      </c>
      <c r="H532" s="150">
        <f t="shared" si="61"/>
        <v>100</v>
      </c>
      <c r="I532" s="186">
        <f t="shared" si="60"/>
        <v>0.003282994090610637</v>
      </c>
      <c r="J532" s="6"/>
      <c r="K532" s="11"/>
      <c r="L532" s="11"/>
    </row>
    <row r="533" spans="1:12" ht="25.5">
      <c r="A533" s="134"/>
      <c r="B533" s="137"/>
      <c r="C533" s="71">
        <v>638100</v>
      </c>
      <c r="D533" s="93" t="s">
        <v>324</v>
      </c>
      <c r="E533" s="159">
        <v>1000</v>
      </c>
      <c r="F533" s="159">
        <f>G533-E533</f>
        <v>0</v>
      </c>
      <c r="G533" s="159">
        <v>1000</v>
      </c>
      <c r="H533" s="153">
        <f t="shared" si="61"/>
        <v>100</v>
      </c>
      <c r="I533" s="435">
        <f t="shared" si="60"/>
        <v>0.003282994090610637</v>
      </c>
      <c r="J533" s="6"/>
      <c r="K533" s="11"/>
      <c r="L533" s="11"/>
    </row>
    <row r="534" spans="1:12" ht="22.5" customHeight="1">
      <c r="A534" s="515"/>
      <c r="B534" s="516"/>
      <c r="C534" s="507" t="s">
        <v>89</v>
      </c>
      <c r="D534" s="514"/>
      <c r="E534" s="161">
        <f>E512+E517+E527+E530+E532</f>
        <v>290200</v>
      </c>
      <c r="F534" s="172">
        <f>F512+F517+F527+F530+F532</f>
        <v>15000</v>
      </c>
      <c r="G534" s="172">
        <f>G512+G517+G527+G530+G532</f>
        <v>305200</v>
      </c>
      <c r="H534" s="390">
        <f t="shared" si="61"/>
        <v>105.16884906960718</v>
      </c>
      <c r="I534" s="366">
        <f t="shared" si="60"/>
        <v>1.0019697964543663</v>
      </c>
      <c r="J534" s="6"/>
      <c r="K534" s="11"/>
      <c r="L534" s="11"/>
    </row>
    <row r="535" spans="1:12" ht="36.75" customHeight="1">
      <c r="A535" s="515"/>
      <c r="B535" s="516"/>
      <c r="C535" s="508" t="s">
        <v>595</v>
      </c>
      <c r="D535" s="509"/>
      <c r="E535" s="471"/>
      <c r="F535" s="460"/>
      <c r="G535" s="460"/>
      <c r="H535" s="245"/>
      <c r="I535" s="246"/>
      <c r="J535" s="6"/>
      <c r="K535" s="11"/>
      <c r="L535" s="11"/>
    </row>
    <row r="536" spans="1:12" ht="14.25" customHeight="1">
      <c r="A536" s="134"/>
      <c r="B536" s="57">
        <v>412000</v>
      </c>
      <c r="C536" s="247"/>
      <c r="D536" s="148" t="s">
        <v>119</v>
      </c>
      <c r="E536" s="150">
        <f>SUM(E537:E541)</f>
        <v>9900</v>
      </c>
      <c r="F536" s="188">
        <f>SUM(F537:F541)</f>
        <v>0</v>
      </c>
      <c r="G536" s="188">
        <f>SUM(G537:G541)</f>
        <v>9900</v>
      </c>
      <c r="H536" s="188">
        <f>G536/E536*100</f>
        <v>100</v>
      </c>
      <c r="I536" s="189">
        <f aca="true" t="shared" si="63" ref="I536:I544">G536/$G$604*100</f>
        <v>0.032501641497045305</v>
      </c>
      <c r="J536" s="6"/>
      <c r="K536" s="11"/>
      <c r="L536" s="11"/>
    </row>
    <row r="537" spans="1:12" ht="24" customHeight="1">
      <c r="A537" s="134" t="s">
        <v>31</v>
      </c>
      <c r="B537" s="137"/>
      <c r="C537" s="248">
        <v>412200</v>
      </c>
      <c r="D537" s="93" t="s">
        <v>121</v>
      </c>
      <c r="E537" s="158">
        <v>3300</v>
      </c>
      <c r="F537" s="158">
        <f>G537-E537</f>
        <v>0</v>
      </c>
      <c r="G537" s="158">
        <v>3300</v>
      </c>
      <c r="H537" s="199">
        <f aca="true" t="shared" si="64" ref="H537:H545">G537/E537*100</f>
        <v>100</v>
      </c>
      <c r="I537" s="187">
        <f t="shared" si="63"/>
        <v>0.0108338804990151</v>
      </c>
      <c r="J537" s="6"/>
      <c r="K537" s="11"/>
      <c r="L537" s="11"/>
    </row>
    <row r="538" spans="1:12" ht="12.75">
      <c r="A538" s="134" t="s">
        <v>31</v>
      </c>
      <c r="B538" s="137"/>
      <c r="C538" s="248">
        <v>412300</v>
      </c>
      <c r="D538" s="137" t="s">
        <v>122</v>
      </c>
      <c r="E538" s="156">
        <v>1800</v>
      </c>
      <c r="F538" s="158">
        <f>G538-E538</f>
        <v>0</v>
      </c>
      <c r="G538" s="156">
        <v>1800</v>
      </c>
      <c r="H538" s="199">
        <f t="shared" si="64"/>
        <v>100</v>
      </c>
      <c r="I538" s="187">
        <f t="shared" si="63"/>
        <v>0.005909389363099146</v>
      </c>
      <c r="J538" s="6"/>
      <c r="K538" s="11"/>
      <c r="L538" s="11"/>
    </row>
    <row r="539" spans="1:12" ht="12.75">
      <c r="A539" s="134" t="s">
        <v>31</v>
      </c>
      <c r="B539" s="137"/>
      <c r="C539" s="248">
        <v>412500</v>
      </c>
      <c r="D539" s="137" t="s">
        <v>124</v>
      </c>
      <c r="E539" s="156">
        <v>1800</v>
      </c>
      <c r="F539" s="158">
        <f>G539-E539</f>
        <v>0</v>
      </c>
      <c r="G539" s="156">
        <v>1800</v>
      </c>
      <c r="H539" s="199">
        <f t="shared" si="64"/>
        <v>100</v>
      </c>
      <c r="I539" s="187">
        <f t="shared" si="63"/>
        <v>0.005909389363099146</v>
      </c>
      <c r="J539" s="6"/>
      <c r="K539" s="11"/>
      <c r="L539" s="11"/>
    </row>
    <row r="540" spans="1:12" ht="12.75">
      <c r="A540" s="134" t="s">
        <v>31</v>
      </c>
      <c r="B540" s="137"/>
      <c r="C540" s="248">
        <v>412700</v>
      </c>
      <c r="D540" s="137" t="s">
        <v>126</v>
      </c>
      <c r="E540" s="158">
        <v>2000</v>
      </c>
      <c r="F540" s="158">
        <f>G540-E540</f>
        <v>0</v>
      </c>
      <c r="G540" s="158">
        <v>2000</v>
      </c>
      <c r="H540" s="199">
        <f t="shared" si="64"/>
        <v>100</v>
      </c>
      <c r="I540" s="187">
        <f t="shared" si="63"/>
        <v>0.006565988181221274</v>
      </c>
      <c r="J540" s="6"/>
      <c r="K540" s="11"/>
      <c r="L540" s="11"/>
    </row>
    <row r="541" spans="1:12" ht="12.75">
      <c r="A541" s="134" t="s">
        <v>31</v>
      </c>
      <c r="B541" s="137"/>
      <c r="C541" s="248">
        <v>412900</v>
      </c>
      <c r="D541" s="137" t="s">
        <v>128</v>
      </c>
      <c r="E541" s="158">
        <v>1000</v>
      </c>
      <c r="F541" s="158">
        <f>G541-E541</f>
        <v>0</v>
      </c>
      <c r="G541" s="158">
        <v>1000</v>
      </c>
      <c r="H541" s="199">
        <f t="shared" si="64"/>
        <v>100</v>
      </c>
      <c r="I541" s="187">
        <f t="shared" si="63"/>
        <v>0.003282994090610637</v>
      </c>
      <c r="J541" s="6"/>
      <c r="K541" s="12"/>
      <c r="L541" s="11"/>
    </row>
    <row r="542" spans="1:12" ht="12.75">
      <c r="A542" s="134"/>
      <c r="B542" s="57">
        <v>511000</v>
      </c>
      <c r="C542" s="249"/>
      <c r="D542" s="148" t="s">
        <v>137</v>
      </c>
      <c r="E542" s="188">
        <f>SUM(E543:E544)</f>
        <v>1200</v>
      </c>
      <c r="F542" s="188">
        <f>SUM(F543:F544)</f>
        <v>1020</v>
      </c>
      <c r="G542" s="188">
        <f>SUM(G543:G544)</f>
        <v>2220</v>
      </c>
      <c r="H542" s="188">
        <f t="shared" si="64"/>
        <v>185</v>
      </c>
      <c r="I542" s="189">
        <f t="shared" si="63"/>
        <v>0.007288246881155615</v>
      </c>
      <c r="J542" s="6"/>
      <c r="K542" s="11"/>
      <c r="L542" s="11"/>
    </row>
    <row r="543" spans="1:12" ht="12.75">
      <c r="A543" s="134" t="s">
        <v>31</v>
      </c>
      <c r="B543" s="137"/>
      <c r="C543" s="248">
        <v>511300</v>
      </c>
      <c r="D543" s="137" t="s">
        <v>2</v>
      </c>
      <c r="E543" s="156">
        <v>1200</v>
      </c>
      <c r="F543" s="156">
        <f>G543-E543</f>
        <v>0</v>
      </c>
      <c r="G543" s="156">
        <v>1200</v>
      </c>
      <c r="H543" s="199">
        <f t="shared" si="64"/>
        <v>100</v>
      </c>
      <c r="I543" s="187">
        <f t="shared" si="63"/>
        <v>0.003939592908732765</v>
      </c>
      <c r="J543" s="6"/>
      <c r="K543" s="11"/>
      <c r="L543" s="11"/>
    </row>
    <row r="544" spans="1:12" ht="26.25" customHeight="1">
      <c r="A544" s="141" t="s">
        <v>31</v>
      </c>
      <c r="B544" s="452"/>
      <c r="C544" s="248">
        <v>511300</v>
      </c>
      <c r="D544" s="93" t="s">
        <v>700</v>
      </c>
      <c r="E544" s="156">
        <v>0</v>
      </c>
      <c r="F544" s="156">
        <f>G544-E544</f>
        <v>1020</v>
      </c>
      <c r="G544" s="156">
        <v>1020</v>
      </c>
      <c r="H544" s="199" t="e">
        <f t="shared" si="64"/>
        <v>#DIV/0!</v>
      </c>
      <c r="I544" s="187">
        <f t="shared" si="63"/>
        <v>0.0033486539724228498</v>
      </c>
      <c r="J544" s="6"/>
      <c r="K544" s="11"/>
      <c r="L544" s="11"/>
    </row>
    <row r="545" spans="1:12" ht="30" customHeight="1">
      <c r="A545" s="515"/>
      <c r="B545" s="516"/>
      <c r="C545" s="507" t="s">
        <v>270</v>
      </c>
      <c r="D545" s="507"/>
      <c r="E545" s="59">
        <f>E536+E542</f>
        <v>11100</v>
      </c>
      <c r="F545" s="59">
        <f>F536+F542</f>
        <v>1020</v>
      </c>
      <c r="G545" s="59">
        <f>G536+G542</f>
        <v>12120</v>
      </c>
      <c r="H545" s="391">
        <f t="shared" si="64"/>
        <v>109.18918918918918</v>
      </c>
      <c r="I545" s="443">
        <f>G545/$G$604*100</f>
        <v>0.039789888378200924</v>
      </c>
      <c r="J545" s="6"/>
      <c r="K545" s="11"/>
      <c r="L545" s="11"/>
    </row>
    <row r="546" spans="1:12" ht="21.75" customHeight="1">
      <c r="A546" s="174"/>
      <c r="B546" s="175"/>
      <c r="C546" s="521" t="s">
        <v>596</v>
      </c>
      <c r="D546" s="512"/>
      <c r="E546" s="250"/>
      <c r="F546" s="250"/>
      <c r="G546" s="250"/>
      <c r="H546" s="176"/>
      <c r="I546" s="241"/>
      <c r="J546" s="6"/>
      <c r="K546" s="11"/>
      <c r="L546" s="11"/>
    </row>
    <row r="547" spans="1:12" ht="21.75" customHeight="1">
      <c r="A547" s="182"/>
      <c r="B547" s="183"/>
      <c r="C547" s="512"/>
      <c r="D547" s="512"/>
      <c r="E547" s="251"/>
      <c r="F547" s="251"/>
      <c r="G547" s="251"/>
      <c r="H547" s="184"/>
      <c r="I547" s="243"/>
      <c r="J547" s="6"/>
      <c r="K547" s="415"/>
      <c r="L547" s="11"/>
    </row>
    <row r="548" spans="1:12" ht="12.75">
      <c r="A548" s="467"/>
      <c r="B548" s="252" t="s">
        <v>356</v>
      </c>
      <c r="C548" s="466"/>
      <c r="D548" s="83" t="s">
        <v>325</v>
      </c>
      <c r="E548" s="150">
        <f>SUM(E549)</f>
        <v>2500</v>
      </c>
      <c r="F548" s="150">
        <f>SUM(F549)</f>
        <v>0</v>
      </c>
      <c r="G548" s="150">
        <f>SUM(G549)</f>
        <v>2500</v>
      </c>
      <c r="H548" s="150">
        <f>G548/E548*100</f>
        <v>100</v>
      </c>
      <c r="I548" s="186">
        <f aca="true" t="shared" si="65" ref="I548:I562">G548/$G$604*100</f>
        <v>0.008207485226526591</v>
      </c>
      <c r="J548" s="6"/>
      <c r="K548" s="11"/>
      <c r="L548" s="11"/>
    </row>
    <row r="549" spans="1:12" ht="25.5">
      <c r="A549" s="253" t="s">
        <v>27</v>
      </c>
      <c r="B549" s="252"/>
      <c r="C549" s="334">
        <v>411200</v>
      </c>
      <c r="D549" s="77" t="s">
        <v>326</v>
      </c>
      <c r="E549" s="157">
        <v>2500</v>
      </c>
      <c r="F549" s="157">
        <f>G549-E549</f>
        <v>0</v>
      </c>
      <c r="G549" s="157">
        <v>2500</v>
      </c>
      <c r="H549" s="153">
        <f aca="true" t="shared" si="66" ref="H549:H562">G549/E549*100</f>
        <v>100</v>
      </c>
      <c r="I549" s="435">
        <f t="shared" si="65"/>
        <v>0.008207485226526591</v>
      </c>
      <c r="J549" s="6"/>
      <c r="K549" s="11"/>
      <c r="L549" s="11"/>
    </row>
    <row r="550" spans="1:12" ht="12.75">
      <c r="A550" s="253"/>
      <c r="B550" s="252" t="s">
        <v>357</v>
      </c>
      <c r="C550" s="335"/>
      <c r="D550" s="83" t="s">
        <v>119</v>
      </c>
      <c r="E550" s="150">
        <f>SUM(E551:E558)</f>
        <v>4100</v>
      </c>
      <c r="F550" s="150">
        <f>SUM(F551:F558)</f>
        <v>350</v>
      </c>
      <c r="G550" s="150">
        <f>SUM(G551:G558)</f>
        <v>4450</v>
      </c>
      <c r="H550" s="150">
        <f t="shared" si="66"/>
        <v>108.53658536585367</v>
      </c>
      <c r="I550" s="186">
        <f t="shared" si="65"/>
        <v>0.014609323703217336</v>
      </c>
      <c r="J550" s="6"/>
      <c r="K550" s="11"/>
      <c r="L550" s="11"/>
    </row>
    <row r="551" spans="1:12" ht="25.5">
      <c r="A551" s="253" t="s">
        <v>27</v>
      </c>
      <c r="B551" s="252"/>
      <c r="C551" s="334">
        <v>412200</v>
      </c>
      <c r="D551" s="93" t="s">
        <v>121</v>
      </c>
      <c r="E551" s="157">
        <v>2000</v>
      </c>
      <c r="F551" s="157">
        <f>G551-E551</f>
        <v>0</v>
      </c>
      <c r="G551" s="157">
        <v>2000</v>
      </c>
      <c r="H551" s="153">
        <f t="shared" si="66"/>
        <v>100</v>
      </c>
      <c r="I551" s="435">
        <f t="shared" si="65"/>
        <v>0.006565988181221274</v>
      </c>
      <c r="J551" s="6"/>
      <c r="K551" s="11"/>
      <c r="L551" s="11"/>
    </row>
    <row r="552" spans="1:12" ht="12.75">
      <c r="A552" s="253" t="s">
        <v>27</v>
      </c>
      <c r="B552" s="252"/>
      <c r="C552" s="334">
        <v>412300</v>
      </c>
      <c r="D552" s="137" t="s">
        <v>122</v>
      </c>
      <c r="E552" s="157">
        <v>500</v>
      </c>
      <c r="F552" s="157">
        <f aca="true" t="shared" si="67" ref="F552:F558">G552-E552</f>
        <v>0</v>
      </c>
      <c r="G552" s="157">
        <v>500</v>
      </c>
      <c r="H552" s="153">
        <f t="shared" si="66"/>
        <v>100</v>
      </c>
      <c r="I552" s="435">
        <f t="shared" si="65"/>
        <v>0.0016414970453053185</v>
      </c>
      <c r="J552" s="6"/>
      <c r="K552" s="11"/>
      <c r="L552" s="11"/>
    </row>
    <row r="553" spans="1:12" ht="13.5" customHeight="1">
      <c r="A553" s="253" t="s">
        <v>27</v>
      </c>
      <c r="B553" s="252"/>
      <c r="C553" s="334">
        <v>412400</v>
      </c>
      <c r="D553" s="93" t="s">
        <v>123</v>
      </c>
      <c r="E553" s="157">
        <v>200</v>
      </c>
      <c r="F553" s="157">
        <f t="shared" si="67"/>
        <v>0</v>
      </c>
      <c r="G553" s="157">
        <v>200</v>
      </c>
      <c r="H553" s="153">
        <f t="shared" si="66"/>
        <v>100</v>
      </c>
      <c r="I553" s="435">
        <f t="shared" si="65"/>
        <v>0.0006565988181221273</v>
      </c>
      <c r="J553" s="6"/>
      <c r="K553" s="11"/>
      <c r="L553" s="11"/>
    </row>
    <row r="554" spans="1:12" ht="12.75" customHeight="1" hidden="1">
      <c r="A554" s="253" t="s">
        <v>27</v>
      </c>
      <c r="B554" s="252"/>
      <c r="C554" s="334">
        <v>412600</v>
      </c>
      <c r="D554" s="93" t="s">
        <v>125</v>
      </c>
      <c r="E554" s="157"/>
      <c r="F554" s="157">
        <f t="shared" si="67"/>
        <v>0</v>
      </c>
      <c r="G554" s="157"/>
      <c r="H554" s="153" t="e">
        <f t="shared" si="66"/>
        <v>#DIV/0!</v>
      </c>
      <c r="I554" s="435">
        <f t="shared" si="65"/>
        <v>0</v>
      </c>
      <c r="J554" s="6"/>
      <c r="K554" s="11"/>
      <c r="L554" s="11"/>
    </row>
    <row r="555" spans="1:12" ht="12.75" customHeight="1" hidden="1">
      <c r="A555" s="253" t="s">
        <v>27</v>
      </c>
      <c r="B555" s="252"/>
      <c r="C555" s="334">
        <v>412500</v>
      </c>
      <c r="D555" s="93" t="s">
        <v>431</v>
      </c>
      <c r="E555" s="157"/>
      <c r="F555" s="157">
        <f t="shared" si="67"/>
        <v>0</v>
      </c>
      <c r="G555" s="157"/>
      <c r="H555" s="153" t="e">
        <f t="shared" si="66"/>
        <v>#DIV/0!</v>
      </c>
      <c r="I555" s="435">
        <f t="shared" si="65"/>
        <v>0</v>
      </c>
      <c r="J555" s="6"/>
      <c r="K555" s="11"/>
      <c r="L555" s="11"/>
    </row>
    <row r="556" spans="1:12" ht="12.75">
      <c r="A556" s="253" t="s">
        <v>27</v>
      </c>
      <c r="B556" s="252"/>
      <c r="C556" s="334">
        <v>412700</v>
      </c>
      <c r="D556" s="137" t="s">
        <v>126</v>
      </c>
      <c r="E556" s="157">
        <v>800</v>
      </c>
      <c r="F556" s="157">
        <f t="shared" si="67"/>
        <v>0</v>
      </c>
      <c r="G556" s="157">
        <v>800</v>
      </c>
      <c r="H556" s="153">
        <f t="shared" si="66"/>
        <v>100</v>
      </c>
      <c r="I556" s="435">
        <f t="shared" si="65"/>
        <v>0.0026263952724885093</v>
      </c>
      <c r="J556" s="6"/>
      <c r="K556" s="11"/>
      <c r="L556" s="11"/>
    </row>
    <row r="557" spans="1:12" ht="12.75">
      <c r="A557" s="253" t="s">
        <v>27</v>
      </c>
      <c r="B557" s="252"/>
      <c r="C557" s="334">
        <v>412900</v>
      </c>
      <c r="D557" s="137" t="s">
        <v>128</v>
      </c>
      <c r="E557" s="153">
        <v>600</v>
      </c>
      <c r="F557" s="157">
        <f t="shared" si="67"/>
        <v>0</v>
      </c>
      <c r="G557" s="153">
        <v>600</v>
      </c>
      <c r="H557" s="153">
        <f t="shared" si="66"/>
        <v>100</v>
      </c>
      <c r="I557" s="435">
        <f t="shared" si="65"/>
        <v>0.0019697964543663824</v>
      </c>
      <c r="J557" s="6"/>
      <c r="K557" s="11"/>
      <c r="L557" s="11"/>
    </row>
    <row r="558" spans="1:12" ht="12.75">
      <c r="A558" s="253" t="s">
        <v>27</v>
      </c>
      <c r="B558" s="252"/>
      <c r="C558" s="334">
        <v>412900</v>
      </c>
      <c r="D558" s="137" t="s">
        <v>661</v>
      </c>
      <c r="E558" s="153">
        <v>0</v>
      </c>
      <c r="F558" s="157">
        <f t="shared" si="67"/>
        <v>350</v>
      </c>
      <c r="G558" s="153">
        <v>350</v>
      </c>
      <c r="H558" s="153" t="e">
        <f t="shared" si="66"/>
        <v>#DIV/0!</v>
      </c>
      <c r="I558" s="435">
        <f t="shared" si="65"/>
        <v>0.001149047931713723</v>
      </c>
      <c r="J558" s="6"/>
      <c r="K558" s="11"/>
      <c r="L558" s="11"/>
    </row>
    <row r="559" spans="1:12" ht="14.25" customHeight="1">
      <c r="A559" s="255"/>
      <c r="B559" s="57">
        <v>511000</v>
      </c>
      <c r="C559" s="137"/>
      <c r="D559" s="148" t="s">
        <v>137</v>
      </c>
      <c r="E559" s="150">
        <f>SUM(E560:E561)</f>
        <v>50000</v>
      </c>
      <c r="F559" s="150">
        <f>SUM(F560:F561)</f>
        <v>0</v>
      </c>
      <c r="G559" s="150">
        <f>SUM(G560:G561)</f>
        <v>50000</v>
      </c>
      <c r="H559" s="150">
        <f t="shared" si="66"/>
        <v>100</v>
      </c>
      <c r="I559" s="186">
        <f t="shared" si="65"/>
        <v>0.16414970453053185</v>
      </c>
      <c r="J559" s="6"/>
      <c r="K559" s="11"/>
      <c r="L559" s="11"/>
    </row>
    <row r="560" spans="1:12" ht="12.75" customHeight="1">
      <c r="A560" s="255" t="s">
        <v>27</v>
      </c>
      <c r="B560" s="252"/>
      <c r="C560" s="71">
        <v>511300</v>
      </c>
      <c r="D560" s="137" t="s">
        <v>607</v>
      </c>
      <c r="E560" s="200">
        <v>50000</v>
      </c>
      <c r="F560" s="200">
        <f>G560-E560</f>
        <v>0</v>
      </c>
      <c r="G560" s="200">
        <v>50000</v>
      </c>
      <c r="H560" s="153">
        <f t="shared" si="66"/>
        <v>100</v>
      </c>
      <c r="I560" s="435">
        <f t="shared" si="65"/>
        <v>0.16414970453053185</v>
      </c>
      <c r="J560" s="6"/>
      <c r="K560" s="11"/>
      <c r="L560" s="11"/>
    </row>
    <row r="561" spans="1:12" ht="14.25" customHeight="1" hidden="1">
      <c r="A561" s="255" t="s">
        <v>27</v>
      </c>
      <c r="B561" s="252"/>
      <c r="C561" s="71">
        <v>511300</v>
      </c>
      <c r="D561" s="93" t="s">
        <v>482</v>
      </c>
      <c r="E561" s="153">
        <v>0</v>
      </c>
      <c r="F561" s="153">
        <v>0</v>
      </c>
      <c r="G561" s="153">
        <v>0</v>
      </c>
      <c r="H561" s="150" t="e">
        <f t="shared" si="66"/>
        <v>#DIV/0!</v>
      </c>
      <c r="I561" s="186">
        <f t="shared" si="65"/>
        <v>0</v>
      </c>
      <c r="J561" s="6"/>
      <c r="K561" s="11"/>
      <c r="L561" s="11"/>
    </row>
    <row r="562" spans="1:12" ht="24.75" customHeight="1">
      <c r="A562" s="524"/>
      <c r="B562" s="525"/>
      <c r="C562" s="507" t="s">
        <v>358</v>
      </c>
      <c r="D562" s="514"/>
      <c r="E562" s="236">
        <f>E548+E550+E559</f>
        <v>56600</v>
      </c>
      <c r="F562" s="236">
        <f>F548+F550+F559</f>
        <v>350</v>
      </c>
      <c r="G562" s="236">
        <f>G548+G550+G559</f>
        <v>56950</v>
      </c>
      <c r="H562" s="390">
        <f t="shared" si="66"/>
        <v>100.61837455830388</v>
      </c>
      <c r="I562" s="366">
        <f t="shared" si="65"/>
        <v>0.18696651346027576</v>
      </c>
      <c r="J562" s="6"/>
      <c r="K562" s="11"/>
      <c r="L562" s="11"/>
    </row>
    <row r="563" spans="1:12" ht="19.5" customHeight="1">
      <c r="A563" s="519"/>
      <c r="B563" s="520"/>
      <c r="C563" s="521" t="s">
        <v>597</v>
      </c>
      <c r="D563" s="522"/>
      <c r="E563" s="163"/>
      <c r="F563" s="163"/>
      <c r="G563" s="163"/>
      <c r="H563" s="163"/>
      <c r="I563" s="164"/>
      <c r="J563" s="6"/>
      <c r="K563" s="11"/>
      <c r="L563" s="11"/>
    </row>
    <row r="564" spans="1:12" ht="21" customHeight="1">
      <c r="A564" s="519"/>
      <c r="B564" s="520"/>
      <c r="C564" s="523"/>
      <c r="D564" s="522"/>
      <c r="E564" s="167"/>
      <c r="F564" s="167"/>
      <c r="G564" s="167"/>
      <c r="H564" s="167"/>
      <c r="I564" s="168"/>
      <c r="J564" s="6"/>
      <c r="K564" s="11"/>
      <c r="L564" s="11"/>
    </row>
    <row r="565" spans="1:12" ht="14.25" customHeight="1">
      <c r="A565" s="228"/>
      <c r="B565" s="57">
        <v>412000</v>
      </c>
      <c r="C565" s="71"/>
      <c r="D565" s="148" t="s">
        <v>119</v>
      </c>
      <c r="E565" s="150">
        <f>SUM(E566:E566)</f>
        <v>2000</v>
      </c>
      <c r="F565" s="150">
        <f>SUM(F566:F566)</f>
        <v>0</v>
      </c>
      <c r="G565" s="150">
        <f>SUM(G566:G566)</f>
        <v>2000</v>
      </c>
      <c r="H565" s="150">
        <f>G565/E565*100</f>
        <v>100</v>
      </c>
      <c r="I565" s="186">
        <f aca="true" t="shared" si="68" ref="I565:I599">G565/$G$604*100</f>
        <v>0.006565988181221274</v>
      </c>
      <c r="J565" s="6"/>
      <c r="K565" s="11"/>
      <c r="L565" s="11"/>
    </row>
    <row r="566" spans="1:12" ht="35.25" customHeight="1">
      <c r="A566" s="134" t="s">
        <v>23</v>
      </c>
      <c r="B566" s="57"/>
      <c r="C566" s="93">
        <v>412900</v>
      </c>
      <c r="D566" s="98" t="s">
        <v>369</v>
      </c>
      <c r="E566" s="201">
        <v>2000</v>
      </c>
      <c r="F566" s="201">
        <f>G566-E566</f>
        <v>0</v>
      </c>
      <c r="G566" s="201">
        <v>2000</v>
      </c>
      <c r="H566" s="153">
        <f aca="true" t="shared" si="69" ref="H566:H599">G566/E566*100</f>
        <v>100</v>
      </c>
      <c r="I566" s="435">
        <f t="shared" si="68"/>
        <v>0.006565988181221274</v>
      </c>
      <c r="J566" s="6"/>
      <c r="K566" s="11"/>
      <c r="L566" s="11"/>
    </row>
    <row r="567" spans="1:12" ht="12.75">
      <c r="A567" s="134"/>
      <c r="B567" s="57">
        <v>413000</v>
      </c>
      <c r="C567" s="93"/>
      <c r="D567" s="148" t="s">
        <v>129</v>
      </c>
      <c r="E567" s="188">
        <f>E568+E571</f>
        <v>220000</v>
      </c>
      <c r="F567" s="188">
        <f>F568+F571</f>
        <v>0</v>
      </c>
      <c r="G567" s="188">
        <f>G568+G571</f>
        <v>220000</v>
      </c>
      <c r="H567" s="150">
        <f t="shared" si="69"/>
        <v>100</v>
      </c>
      <c r="I567" s="186">
        <f t="shared" si="68"/>
        <v>0.7222586999343401</v>
      </c>
      <c r="J567" s="6"/>
      <c r="K567" s="11"/>
      <c r="L567" s="11"/>
    </row>
    <row r="568" spans="1:12" ht="12.75">
      <c r="A568" s="134"/>
      <c r="B568" s="57"/>
      <c r="C568" s="148"/>
      <c r="D568" s="148" t="s">
        <v>130</v>
      </c>
      <c r="E568" s="215">
        <f>SUM(E569:E570)</f>
        <v>150000</v>
      </c>
      <c r="F568" s="215">
        <f>SUM(F569:F570)</f>
        <v>0</v>
      </c>
      <c r="G568" s="215">
        <f>SUM(G569:G570)</f>
        <v>150000</v>
      </c>
      <c r="H568" s="216">
        <f t="shared" si="69"/>
        <v>100</v>
      </c>
      <c r="I568" s="439">
        <f t="shared" si="68"/>
        <v>0.4924491135915955</v>
      </c>
      <c r="J568" s="6"/>
      <c r="K568" s="11"/>
      <c r="L568" s="11"/>
    </row>
    <row r="569" spans="1:12" ht="12.75" customHeight="1">
      <c r="A569" s="134" t="s">
        <v>55</v>
      </c>
      <c r="B569" s="137"/>
      <c r="C569" s="82">
        <v>413300</v>
      </c>
      <c r="D569" s="93" t="s">
        <v>371</v>
      </c>
      <c r="E569" s="201">
        <v>150000</v>
      </c>
      <c r="F569" s="201">
        <f>G569-E569</f>
        <v>0</v>
      </c>
      <c r="G569" s="201">
        <v>150000</v>
      </c>
      <c r="H569" s="153">
        <f t="shared" si="69"/>
        <v>100</v>
      </c>
      <c r="I569" s="435">
        <f t="shared" si="68"/>
        <v>0.4924491135915955</v>
      </c>
      <c r="J569" s="6"/>
      <c r="K569" s="11"/>
      <c r="L569" s="11"/>
    </row>
    <row r="570" spans="1:12" ht="12.75" customHeight="1" hidden="1">
      <c r="A570" s="134" t="s">
        <v>55</v>
      </c>
      <c r="B570" s="137"/>
      <c r="C570" s="82">
        <v>413300</v>
      </c>
      <c r="D570" s="93" t="s">
        <v>496</v>
      </c>
      <c r="E570" s="201"/>
      <c r="F570" s="201"/>
      <c r="G570" s="201"/>
      <c r="H570" s="150" t="e">
        <f t="shared" si="69"/>
        <v>#DIV/0!</v>
      </c>
      <c r="I570" s="186">
        <f t="shared" si="68"/>
        <v>0</v>
      </c>
      <c r="J570" s="10"/>
      <c r="K570" s="11"/>
      <c r="L570" s="11"/>
    </row>
    <row r="571" spans="1:12" ht="18.75" customHeight="1">
      <c r="A571" s="134"/>
      <c r="B571" s="137"/>
      <c r="C571" s="82"/>
      <c r="D571" s="148" t="s">
        <v>455</v>
      </c>
      <c r="E571" s="68">
        <f>SUM(E572:E573)</f>
        <v>70000</v>
      </c>
      <c r="F571" s="68">
        <f>SUM(F572:F573)</f>
        <v>0</v>
      </c>
      <c r="G571" s="68">
        <f>SUM(G572:G573)</f>
        <v>70000</v>
      </c>
      <c r="H571" s="216">
        <f t="shared" si="69"/>
        <v>100</v>
      </c>
      <c r="I571" s="439">
        <f t="shared" si="68"/>
        <v>0.2298095863427446</v>
      </c>
      <c r="J571" s="343"/>
      <c r="K571" s="11"/>
      <c r="L571" s="11"/>
    </row>
    <row r="572" spans="1:12" ht="14.25" customHeight="1">
      <c r="A572" s="134" t="s">
        <v>55</v>
      </c>
      <c r="B572" s="137"/>
      <c r="C572" s="82">
        <v>413700</v>
      </c>
      <c r="D572" s="344" t="s">
        <v>622</v>
      </c>
      <c r="E572" s="345">
        <v>65000</v>
      </c>
      <c r="F572" s="345">
        <f>G572-E572</f>
        <v>0</v>
      </c>
      <c r="G572" s="345">
        <v>65000</v>
      </c>
      <c r="H572" s="153">
        <f t="shared" si="69"/>
        <v>100</v>
      </c>
      <c r="I572" s="435">
        <f t="shared" si="68"/>
        <v>0.2133946158896914</v>
      </c>
      <c r="J572" s="343"/>
      <c r="K572" s="11"/>
      <c r="L572" s="11"/>
    </row>
    <row r="573" spans="1:12" ht="27" customHeight="1">
      <c r="A573" s="134" t="s">
        <v>55</v>
      </c>
      <c r="B573" s="137"/>
      <c r="C573" s="71">
        <v>413700</v>
      </c>
      <c r="D573" s="130" t="s">
        <v>623</v>
      </c>
      <c r="E573" s="201">
        <v>5000</v>
      </c>
      <c r="F573" s="345">
        <f>G573-E573</f>
        <v>0</v>
      </c>
      <c r="G573" s="201">
        <v>5000</v>
      </c>
      <c r="H573" s="153">
        <f t="shared" si="69"/>
        <v>100</v>
      </c>
      <c r="I573" s="435">
        <f t="shared" si="68"/>
        <v>0.016414970453053183</v>
      </c>
      <c r="J573" s="6"/>
      <c r="K573" s="11"/>
      <c r="L573" s="11"/>
    </row>
    <row r="574" spans="1:12" ht="24.75" customHeight="1">
      <c r="A574" s="134"/>
      <c r="B574" s="57">
        <v>418000</v>
      </c>
      <c r="C574" s="71"/>
      <c r="D574" s="148" t="s">
        <v>393</v>
      </c>
      <c r="E574" s="150">
        <f aca="true" t="shared" si="70" ref="E574:G575">SUM(E575)</f>
        <v>3500</v>
      </c>
      <c r="F574" s="150">
        <f t="shared" si="70"/>
        <v>0</v>
      </c>
      <c r="G574" s="150">
        <f t="shared" si="70"/>
        <v>3500</v>
      </c>
      <c r="H574" s="150">
        <f t="shared" si="69"/>
        <v>100</v>
      </c>
      <c r="I574" s="186">
        <f t="shared" si="68"/>
        <v>0.01149047931713723</v>
      </c>
      <c r="J574" s="6"/>
      <c r="K574" s="11"/>
      <c r="L574" s="11"/>
    </row>
    <row r="575" spans="1:12" ht="24.75" customHeight="1">
      <c r="A575" s="134"/>
      <c r="B575" s="57"/>
      <c r="C575" s="71"/>
      <c r="D575" s="148" t="s">
        <v>396</v>
      </c>
      <c r="E575" s="215">
        <f t="shared" si="70"/>
        <v>3500</v>
      </c>
      <c r="F575" s="215">
        <f t="shared" si="70"/>
        <v>0</v>
      </c>
      <c r="G575" s="215">
        <f t="shared" si="70"/>
        <v>3500</v>
      </c>
      <c r="H575" s="216">
        <f t="shared" si="69"/>
        <v>100</v>
      </c>
      <c r="I575" s="439">
        <f t="shared" si="68"/>
        <v>0.01149047931713723</v>
      </c>
      <c r="J575" s="6"/>
      <c r="K575" s="11"/>
      <c r="L575" s="11"/>
    </row>
    <row r="576" spans="1:12" ht="12.75" customHeight="1">
      <c r="A576" s="134" t="s">
        <v>55</v>
      </c>
      <c r="B576" s="137"/>
      <c r="C576" s="71">
        <v>418100</v>
      </c>
      <c r="D576" s="93" t="s">
        <v>212</v>
      </c>
      <c r="E576" s="159">
        <v>3500</v>
      </c>
      <c r="F576" s="159">
        <f>G576-E576</f>
        <v>0</v>
      </c>
      <c r="G576" s="159">
        <v>3500</v>
      </c>
      <c r="H576" s="153">
        <f t="shared" si="69"/>
        <v>100</v>
      </c>
      <c r="I576" s="435">
        <f t="shared" si="68"/>
        <v>0.01149047931713723</v>
      </c>
      <c r="J576" s="6"/>
      <c r="K576" s="11"/>
      <c r="L576" s="11"/>
    </row>
    <row r="577" spans="1:12" ht="15.75" customHeight="1">
      <c r="A577" s="134"/>
      <c r="B577" s="57">
        <v>487000</v>
      </c>
      <c r="C577" s="71"/>
      <c r="D577" s="148" t="s">
        <v>341</v>
      </c>
      <c r="E577" s="188">
        <f>E578+E582</f>
        <v>13500</v>
      </c>
      <c r="F577" s="188">
        <f>F578+F582</f>
        <v>0</v>
      </c>
      <c r="G577" s="188">
        <f>G578+G582</f>
        <v>13500</v>
      </c>
      <c r="H577" s="150">
        <f t="shared" si="69"/>
        <v>100</v>
      </c>
      <c r="I577" s="186">
        <f t="shared" si="68"/>
        <v>0.044320420223243596</v>
      </c>
      <c r="J577" s="6"/>
      <c r="K577" s="11"/>
      <c r="L577" s="11"/>
    </row>
    <row r="578" spans="1:12" ht="33.75" customHeight="1">
      <c r="A578" s="134"/>
      <c r="B578" s="57"/>
      <c r="C578" s="71"/>
      <c r="D578" s="97" t="s">
        <v>370</v>
      </c>
      <c r="E578" s="215">
        <f>SUM(E579:E581)</f>
        <v>10000</v>
      </c>
      <c r="F578" s="215">
        <f>SUM(F579:F581)</f>
        <v>0</v>
      </c>
      <c r="G578" s="215">
        <f>SUM(G579:G581)</f>
        <v>10000</v>
      </c>
      <c r="H578" s="216">
        <f t="shared" si="69"/>
        <v>100</v>
      </c>
      <c r="I578" s="439">
        <f t="shared" si="68"/>
        <v>0.032829940906106365</v>
      </c>
      <c r="J578" s="6"/>
      <c r="K578" s="11"/>
      <c r="L578" s="11"/>
    </row>
    <row r="579" spans="1:12" ht="12.75">
      <c r="A579" s="134" t="s">
        <v>35</v>
      </c>
      <c r="B579" s="137"/>
      <c r="C579" s="71">
        <v>487200</v>
      </c>
      <c r="D579" s="93" t="s">
        <v>354</v>
      </c>
      <c r="E579" s="157">
        <v>6000</v>
      </c>
      <c r="F579" s="157">
        <f>G579-E579</f>
        <v>0</v>
      </c>
      <c r="G579" s="157">
        <v>6000</v>
      </c>
      <c r="H579" s="153">
        <f t="shared" si="69"/>
        <v>100</v>
      </c>
      <c r="I579" s="435">
        <f t="shared" si="68"/>
        <v>0.01969796454366382</v>
      </c>
      <c r="J579" s="6"/>
      <c r="K579" s="12"/>
      <c r="L579" s="11"/>
    </row>
    <row r="580" spans="1:12" ht="12.75">
      <c r="A580" s="134" t="s">
        <v>35</v>
      </c>
      <c r="B580" s="137"/>
      <c r="C580" s="71">
        <v>487300</v>
      </c>
      <c r="D580" s="93" t="s">
        <v>351</v>
      </c>
      <c r="E580" s="157">
        <v>1000</v>
      </c>
      <c r="F580" s="157">
        <f>G580-E580</f>
        <v>0</v>
      </c>
      <c r="G580" s="157">
        <v>1000</v>
      </c>
      <c r="H580" s="153">
        <f t="shared" si="69"/>
        <v>100</v>
      </c>
      <c r="I580" s="435">
        <f t="shared" si="68"/>
        <v>0.003282994090610637</v>
      </c>
      <c r="J580" s="6"/>
      <c r="K580" s="11"/>
      <c r="L580" s="11"/>
    </row>
    <row r="581" spans="1:12" ht="12.75" customHeight="1">
      <c r="A581" s="134" t="s">
        <v>35</v>
      </c>
      <c r="B581" s="137"/>
      <c r="C581" s="71">
        <v>487400</v>
      </c>
      <c r="D581" s="93" t="s">
        <v>328</v>
      </c>
      <c r="E581" s="157">
        <v>3000</v>
      </c>
      <c r="F581" s="157">
        <f>G581-E581</f>
        <v>0</v>
      </c>
      <c r="G581" s="157">
        <v>3000</v>
      </c>
      <c r="H581" s="153">
        <f t="shared" si="69"/>
        <v>100</v>
      </c>
      <c r="I581" s="435">
        <f t="shared" si="68"/>
        <v>0.00984898227183191</v>
      </c>
      <c r="J581" s="6"/>
      <c r="K581" s="11"/>
      <c r="L581" s="11"/>
    </row>
    <row r="582" spans="1:12" ht="12.75">
      <c r="A582" s="134"/>
      <c r="B582" s="137"/>
      <c r="C582" s="71"/>
      <c r="D582" s="148" t="s">
        <v>340</v>
      </c>
      <c r="E582" s="216">
        <f>SUM(E583)</f>
        <v>3500</v>
      </c>
      <c r="F582" s="216">
        <f>SUM(F583)</f>
        <v>0</v>
      </c>
      <c r="G582" s="216">
        <f>SUM(G583)</f>
        <v>3500</v>
      </c>
      <c r="H582" s="216">
        <f t="shared" si="69"/>
        <v>100</v>
      </c>
      <c r="I582" s="439">
        <f t="shared" si="68"/>
        <v>0.01149047931713723</v>
      </c>
      <c r="J582" s="6"/>
      <c r="K582" s="11"/>
      <c r="L582" s="11"/>
    </row>
    <row r="583" spans="1:12" ht="24" customHeight="1">
      <c r="A583" s="134" t="s">
        <v>35</v>
      </c>
      <c r="B583" s="137"/>
      <c r="C583" s="71">
        <v>487900</v>
      </c>
      <c r="D583" s="93" t="s">
        <v>392</v>
      </c>
      <c r="E583" s="159">
        <v>3500</v>
      </c>
      <c r="F583" s="159">
        <f>G583-E583</f>
        <v>0</v>
      </c>
      <c r="G583" s="159">
        <v>3500</v>
      </c>
      <c r="H583" s="153">
        <f t="shared" si="69"/>
        <v>100</v>
      </c>
      <c r="I583" s="435">
        <f t="shared" si="68"/>
        <v>0.01149047931713723</v>
      </c>
      <c r="J583" s="6"/>
      <c r="K583" s="12"/>
      <c r="L583" s="11"/>
    </row>
    <row r="584" spans="1:12" ht="13.5" customHeight="1">
      <c r="A584" s="134"/>
      <c r="B584" s="95">
        <v>621000</v>
      </c>
      <c r="C584" s="71"/>
      <c r="D584" s="148" t="s">
        <v>141</v>
      </c>
      <c r="E584" s="154">
        <f>E585+E588</f>
        <v>925000</v>
      </c>
      <c r="F584" s="154">
        <f>F585+F588</f>
        <v>0</v>
      </c>
      <c r="G584" s="154">
        <f>G585+G588</f>
        <v>925000</v>
      </c>
      <c r="H584" s="150">
        <f t="shared" si="69"/>
        <v>100</v>
      </c>
      <c r="I584" s="186">
        <f t="shared" si="68"/>
        <v>3.036769533814839</v>
      </c>
      <c r="J584" s="6"/>
      <c r="K584" s="12"/>
      <c r="L584" s="11"/>
    </row>
    <row r="585" spans="1:12" ht="12.75">
      <c r="A585" s="134"/>
      <c r="B585" s="95"/>
      <c r="C585" s="71"/>
      <c r="D585" s="148" t="s">
        <v>149</v>
      </c>
      <c r="E585" s="215">
        <f>SUM(E586:E587)</f>
        <v>900000</v>
      </c>
      <c r="F585" s="215">
        <f>SUM(F586:F587)</f>
        <v>0</v>
      </c>
      <c r="G585" s="215">
        <f>SUM(G586:G587)</f>
        <v>900000</v>
      </c>
      <c r="H585" s="216">
        <f t="shared" si="69"/>
        <v>100</v>
      </c>
      <c r="I585" s="439">
        <f t="shared" si="68"/>
        <v>2.954694681549573</v>
      </c>
      <c r="J585" s="6"/>
      <c r="K585" s="11"/>
      <c r="L585" s="11"/>
    </row>
    <row r="586" spans="1:12" ht="14.25" customHeight="1">
      <c r="A586" s="134"/>
      <c r="B586" s="57"/>
      <c r="C586" s="102">
        <v>621300</v>
      </c>
      <c r="D586" s="98" t="s">
        <v>372</v>
      </c>
      <c r="E586" s="201">
        <v>900000</v>
      </c>
      <c r="F586" s="201">
        <f>G586-E586</f>
        <v>0</v>
      </c>
      <c r="G586" s="201">
        <v>900000</v>
      </c>
      <c r="H586" s="153">
        <f t="shared" si="69"/>
        <v>100</v>
      </c>
      <c r="I586" s="435">
        <f t="shared" si="68"/>
        <v>2.954694681549573</v>
      </c>
      <c r="J586" s="6"/>
      <c r="K586" s="11"/>
      <c r="L586" s="11"/>
    </row>
    <row r="587" spans="1:12" ht="15" customHeight="1" hidden="1">
      <c r="A587" s="134"/>
      <c r="B587" s="57"/>
      <c r="C587" s="102">
        <v>621300</v>
      </c>
      <c r="D587" s="98" t="s">
        <v>497</v>
      </c>
      <c r="E587" s="201">
        <v>0</v>
      </c>
      <c r="F587" s="201">
        <v>0</v>
      </c>
      <c r="G587" s="201">
        <v>0</v>
      </c>
      <c r="H587" s="150" t="e">
        <f t="shared" si="69"/>
        <v>#DIV/0!</v>
      </c>
      <c r="I587" s="186">
        <f t="shared" si="68"/>
        <v>0</v>
      </c>
      <c r="J587" s="6"/>
      <c r="K587" s="12"/>
      <c r="L587" s="11"/>
    </row>
    <row r="588" spans="1:12" ht="12.75">
      <c r="A588" s="134"/>
      <c r="B588" s="57"/>
      <c r="C588" s="102"/>
      <c r="D588" s="97" t="s">
        <v>295</v>
      </c>
      <c r="E588" s="257">
        <f>E589</f>
        <v>25000</v>
      </c>
      <c r="F588" s="257">
        <f>F589</f>
        <v>0</v>
      </c>
      <c r="G588" s="257">
        <f>G589</f>
        <v>25000</v>
      </c>
      <c r="H588" s="216">
        <f t="shared" si="69"/>
        <v>100</v>
      </c>
      <c r="I588" s="439">
        <f t="shared" si="68"/>
        <v>0.08207485226526592</v>
      </c>
      <c r="J588" s="6"/>
      <c r="K588" s="11"/>
      <c r="L588" s="11"/>
    </row>
    <row r="589" spans="1:12" ht="14.25" customHeight="1">
      <c r="A589" s="134"/>
      <c r="B589" s="57"/>
      <c r="C589" s="102">
        <v>621900</v>
      </c>
      <c r="D589" s="98" t="s">
        <v>300</v>
      </c>
      <c r="E589" s="159">
        <v>25000</v>
      </c>
      <c r="F589" s="159">
        <f>G589-E589</f>
        <v>0</v>
      </c>
      <c r="G589" s="159">
        <v>25000</v>
      </c>
      <c r="H589" s="153">
        <f t="shared" si="69"/>
        <v>100</v>
      </c>
      <c r="I589" s="435">
        <f t="shared" si="68"/>
        <v>0.08207485226526592</v>
      </c>
      <c r="J589" s="6"/>
      <c r="K589" s="11"/>
      <c r="L589" s="11"/>
    </row>
    <row r="590" spans="1:12" ht="25.5">
      <c r="A590" s="134"/>
      <c r="B590" s="57">
        <v>628000</v>
      </c>
      <c r="C590" s="102"/>
      <c r="D590" s="97" t="s">
        <v>394</v>
      </c>
      <c r="E590" s="154">
        <f aca="true" t="shared" si="71" ref="E590:G591">SUM(E591)</f>
        <v>180000</v>
      </c>
      <c r="F590" s="154">
        <f t="shared" si="71"/>
        <v>0</v>
      </c>
      <c r="G590" s="154">
        <f t="shared" si="71"/>
        <v>180000</v>
      </c>
      <c r="H590" s="150">
        <f t="shared" si="69"/>
        <v>100</v>
      </c>
      <c r="I590" s="186">
        <f t="shared" si="68"/>
        <v>0.5909389363099147</v>
      </c>
      <c r="J590" s="6"/>
      <c r="K590" s="11"/>
      <c r="L590" s="11"/>
    </row>
    <row r="591" spans="1:12" ht="25.5">
      <c r="A591" s="134"/>
      <c r="B591" s="57"/>
      <c r="C591" s="102"/>
      <c r="D591" s="97" t="s">
        <v>395</v>
      </c>
      <c r="E591" s="215">
        <f t="shared" si="71"/>
        <v>180000</v>
      </c>
      <c r="F591" s="215">
        <f t="shared" si="71"/>
        <v>0</v>
      </c>
      <c r="G591" s="215">
        <f t="shared" si="71"/>
        <v>180000</v>
      </c>
      <c r="H591" s="216">
        <f t="shared" si="69"/>
        <v>100</v>
      </c>
      <c r="I591" s="439">
        <f t="shared" si="68"/>
        <v>0.5909389363099147</v>
      </c>
      <c r="J591" s="6"/>
      <c r="L591" s="11"/>
    </row>
    <row r="592" spans="1:12" ht="12" customHeight="1">
      <c r="A592" s="134"/>
      <c r="B592" s="57"/>
      <c r="C592" s="102">
        <v>628100</v>
      </c>
      <c r="D592" s="98" t="s">
        <v>352</v>
      </c>
      <c r="E592" s="159">
        <v>180000</v>
      </c>
      <c r="F592" s="159">
        <f>G592-E592</f>
        <v>0</v>
      </c>
      <c r="G592" s="159">
        <v>180000</v>
      </c>
      <c r="H592" s="153">
        <f t="shared" si="69"/>
        <v>100</v>
      </c>
      <c r="I592" s="435">
        <f t="shared" si="68"/>
        <v>0.5909389363099147</v>
      </c>
      <c r="J592" s="6"/>
      <c r="L592" s="11"/>
    </row>
    <row r="593" spans="1:12" ht="12.75">
      <c r="A593" s="134"/>
      <c r="B593" s="95">
        <v>631000</v>
      </c>
      <c r="C593" s="102"/>
      <c r="D593" s="148" t="s">
        <v>318</v>
      </c>
      <c r="E593" s="154">
        <f>SUM(E594:E596)</f>
        <v>8600</v>
      </c>
      <c r="F593" s="154">
        <f>SUM(F594:F596)</f>
        <v>93900</v>
      </c>
      <c r="G593" s="154">
        <f>SUM(G594:G596)</f>
        <v>102500</v>
      </c>
      <c r="H593" s="150">
        <f t="shared" si="69"/>
        <v>1191.860465116279</v>
      </c>
      <c r="I593" s="186">
        <f t="shared" si="68"/>
        <v>0.3365068942875903</v>
      </c>
      <c r="J593" s="6"/>
      <c r="L593" s="11"/>
    </row>
    <row r="594" spans="1:12" ht="12.75">
      <c r="A594" s="134"/>
      <c r="B594" s="95"/>
      <c r="C594" s="102">
        <v>631300</v>
      </c>
      <c r="D594" s="93" t="s">
        <v>424</v>
      </c>
      <c r="E594" s="159">
        <v>5500</v>
      </c>
      <c r="F594" s="159">
        <f>G594-E594</f>
        <v>60900</v>
      </c>
      <c r="G594" s="159">
        <f>46400+20000</f>
        <v>66400</v>
      </c>
      <c r="H594" s="153">
        <f t="shared" si="69"/>
        <v>1207.2727272727273</v>
      </c>
      <c r="I594" s="435">
        <f t="shared" si="68"/>
        <v>0.21799080761654627</v>
      </c>
      <c r="J594" s="337"/>
      <c r="L594" s="11"/>
    </row>
    <row r="595" spans="1:12" ht="12.75">
      <c r="A595" s="134"/>
      <c r="B595" s="95"/>
      <c r="C595" s="102">
        <v>631300</v>
      </c>
      <c r="D595" s="93" t="s">
        <v>662</v>
      </c>
      <c r="E595" s="159">
        <v>0</v>
      </c>
      <c r="F595" s="159">
        <f>G595-E595</f>
        <v>23000</v>
      </c>
      <c r="G595" s="159">
        <v>23000</v>
      </c>
      <c r="H595" s="153" t="e">
        <f t="shared" si="69"/>
        <v>#DIV/0!</v>
      </c>
      <c r="I595" s="435">
        <f t="shared" si="68"/>
        <v>0.07550886408404464</v>
      </c>
      <c r="J595" s="337"/>
      <c r="K595" s="1"/>
      <c r="L595" s="11"/>
    </row>
    <row r="596" spans="1:12" ht="25.5">
      <c r="A596" s="134"/>
      <c r="B596" s="95"/>
      <c r="C596" s="102">
        <v>631900</v>
      </c>
      <c r="D596" s="93" t="s">
        <v>363</v>
      </c>
      <c r="E596" s="201">
        <v>3100</v>
      </c>
      <c r="F596" s="159">
        <f>G596-E596</f>
        <v>10000</v>
      </c>
      <c r="G596" s="201">
        <v>13100</v>
      </c>
      <c r="H596" s="153">
        <f t="shared" si="69"/>
        <v>422.5806451612903</v>
      </c>
      <c r="I596" s="435">
        <f t="shared" si="68"/>
        <v>0.04300722258699934</v>
      </c>
      <c r="J596" s="338"/>
      <c r="L596" s="11"/>
    </row>
    <row r="597" spans="1:12" ht="14.25" customHeight="1">
      <c r="A597" s="134"/>
      <c r="B597" s="57">
        <v>638000</v>
      </c>
      <c r="C597" s="102"/>
      <c r="D597" s="97" t="s">
        <v>353</v>
      </c>
      <c r="E597" s="154">
        <f>E598</f>
        <v>2390</v>
      </c>
      <c r="F597" s="154">
        <f>F598</f>
        <v>5000</v>
      </c>
      <c r="G597" s="154">
        <f>G598</f>
        <v>7390</v>
      </c>
      <c r="H597" s="150">
        <f t="shared" si="69"/>
        <v>309.2050209205021</v>
      </c>
      <c r="I597" s="186">
        <f t="shared" si="68"/>
        <v>0.024261326329612608</v>
      </c>
      <c r="J597" s="338"/>
      <c r="K597" s="1"/>
      <c r="L597" s="11"/>
    </row>
    <row r="598" spans="1:12" ht="24.75" customHeight="1">
      <c r="A598" s="134"/>
      <c r="B598" s="57"/>
      <c r="C598" s="102">
        <v>638100</v>
      </c>
      <c r="D598" s="98" t="s">
        <v>362</v>
      </c>
      <c r="E598" s="159">
        <v>2390</v>
      </c>
      <c r="F598" s="159">
        <f>G598-E598</f>
        <v>5000</v>
      </c>
      <c r="G598" s="159">
        <v>7390</v>
      </c>
      <c r="H598" s="153">
        <f t="shared" si="69"/>
        <v>309.2050209205021</v>
      </c>
      <c r="I598" s="435">
        <f t="shared" si="68"/>
        <v>0.024261326329612608</v>
      </c>
      <c r="J598" s="339"/>
      <c r="L598" s="11"/>
    </row>
    <row r="599" spans="1:12" ht="27.75" customHeight="1">
      <c r="A599" s="527"/>
      <c r="B599" s="528"/>
      <c r="C599" s="507" t="s">
        <v>205</v>
      </c>
      <c r="D599" s="507"/>
      <c r="E599" s="172">
        <f>E565+E567+E574+E577+E584+E590+E593+E597</f>
        <v>1354990</v>
      </c>
      <c r="F599" s="172">
        <f>F565+F567+F574+F577+F584+F590+F593+F597</f>
        <v>98900</v>
      </c>
      <c r="G599" s="172">
        <f>G565+G567+G574+G577+G584+G590+G593+G597</f>
        <v>1453890</v>
      </c>
      <c r="H599" s="390">
        <f t="shared" si="69"/>
        <v>107.29894685569634</v>
      </c>
      <c r="I599" s="366">
        <f t="shared" si="68"/>
        <v>4.773112278397899</v>
      </c>
      <c r="J599" s="6"/>
      <c r="L599" s="11"/>
    </row>
    <row r="600" spans="1:12" ht="19.5" customHeight="1">
      <c r="A600" s="515"/>
      <c r="B600" s="516"/>
      <c r="C600" s="521" t="s">
        <v>598</v>
      </c>
      <c r="D600" s="522"/>
      <c r="E600" s="191"/>
      <c r="F600" s="191"/>
      <c r="G600" s="191"/>
      <c r="H600" s="191"/>
      <c r="I600" s="192"/>
      <c r="J600" s="6"/>
      <c r="L600" s="11"/>
    </row>
    <row r="601" spans="1:12" ht="8.25" customHeight="1">
      <c r="A601" s="515"/>
      <c r="B601" s="516"/>
      <c r="C601" s="523"/>
      <c r="D601" s="522"/>
      <c r="E601" s="258"/>
      <c r="F601" s="258"/>
      <c r="G601" s="258"/>
      <c r="H601" s="258"/>
      <c r="I601" s="259"/>
      <c r="J601" s="6"/>
      <c r="L601" s="11"/>
    </row>
    <row r="602" spans="1:12" ht="12.75" customHeight="1">
      <c r="A602" s="515"/>
      <c r="B602" s="516"/>
      <c r="C602" s="260" t="s">
        <v>190</v>
      </c>
      <c r="D602" s="80" t="s">
        <v>95</v>
      </c>
      <c r="E602" s="254">
        <v>210000</v>
      </c>
      <c r="F602" s="254">
        <f>G602-E602</f>
        <v>-130057.77</v>
      </c>
      <c r="G602" s="254">
        <v>79942.23</v>
      </c>
      <c r="H602" s="157">
        <f>G602/E602*100</f>
        <v>38.067728571428574</v>
      </c>
      <c r="I602" s="261">
        <f>G602/G604*100</f>
        <v>0.26244986868023634</v>
      </c>
      <c r="J602" s="6"/>
      <c r="L602" s="11"/>
    </row>
    <row r="603" spans="1:12" ht="25.5" customHeight="1">
      <c r="A603" s="515"/>
      <c r="B603" s="516"/>
      <c r="C603" s="507" t="s">
        <v>176</v>
      </c>
      <c r="D603" s="514"/>
      <c r="E603" s="172">
        <f>E602</f>
        <v>210000</v>
      </c>
      <c r="F603" s="172">
        <f>F602</f>
        <v>-130057.77</v>
      </c>
      <c r="G603" s="172">
        <f>G602</f>
        <v>79942.23</v>
      </c>
      <c r="H603" s="162">
        <f>G603/E603*100</f>
        <v>38.067728571428574</v>
      </c>
      <c r="I603" s="190">
        <f>G603/G604*100</f>
        <v>0.26244986868023634</v>
      </c>
      <c r="J603" s="6"/>
      <c r="L603" s="11"/>
    </row>
    <row r="604" spans="1:12" ht="24" customHeight="1" thickBot="1">
      <c r="A604" s="552" t="s">
        <v>200</v>
      </c>
      <c r="B604" s="553"/>
      <c r="C604" s="554" t="s">
        <v>206</v>
      </c>
      <c r="D604" s="555"/>
      <c r="E604" s="262">
        <f>E20+E39+E58+E71+E87+E105+E167+E180+E235+E267+E277+E295+E306+E331+E376+E403+E464+E485+E509+E534+E545+E562+E599+E603</f>
        <v>27800000</v>
      </c>
      <c r="F604" s="262">
        <f>F20+F39+F58+F71+F87+F105+F167+F180+F235+F267+F277+F295+F306+F331+F376+F403+F464+F485+F509+F534+F545+F562+F599+F603</f>
        <v>2660000</v>
      </c>
      <c r="G604" s="262">
        <f>G20+G39+G58+G71+G87+G105+G167+G180+G235+G267+G277+G295+G306+G331+G376+G403+G464+G485+G509+G534+G545+G562+G599+G603</f>
        <v>30460000</v>
      </c>
      <c r="H604" s="263">
        <f>G604/E604*100</f>
        <v>109.568345323741</v>
      </c>
      <c r="I604" s="264">
        <f>G604/G604*100</f>
        <v>100</v>
      </c>
      <c r="J604" s="9"/>
      <c r="L604" s="11"/>
    </row>
    <row r="605" spans="1:12" ht="7.5" customHeight="1" thickTop="1">
      <c r="A605" s="34"/>
      <c r="B605" s="34"/>
      <c r="C605" s="36"/>
      <c r="D605" s="36"/>
      <c r="E605" s="37"/>
      <c r="F605" s="37"/>
      <c r="G605" s="37"/>
      <c r="H605" s="37"/>
      <c r="I605" s="38"/>
      <c r="J605" s="9"/>
      <c r="L605" s="11"/>
    </row>
    <row r="606" spans="1:12" ht="10.5" customHeight="1">
      <c r="A606" s="7"/>
      <c r="B606" s="6"/>
      <c r="C606" s="6"/>
      <c r="D606" s="375"/>
      <c r="E606" s="20"/>
      <c r="F606" s="20"/>
      <c r="G606" s="20"/>
      <c r="H606" s="20"/>
      <c r="I606" s="30"/>
      <c r="J606" s="6"/>
      <c r="L606" s="11"/>
    </row>
    <row r="607" spans="4:12" ht="12.75" hidden="1">
      <c r="D607" s="405" t="s">
        <v>626</v>
      </c>
      <c r="E607" s="406">
        <f>'B.pr. i prim. za nef. im.'!D113+Finansiranje!C7+Finansiranje!C12+Finansiranje!C21+Finansiranje!C37</f>
        <v>27800000</v>
      </c>
      <c r="F607" s="406"/>
      <c r="G607" s="406"/>
      <c r="L607" s="11"/>
    </row>
    <row r="608" spans="4:12" ht="12.75" hidden="1">
      <c r="D608" s="405" t="s">
        <v>627</v>
      </c>
      <c r="E608" s="406">
        <f>E604-E607</f>
        <v>0</v>
      </c>
      <c r="F608" s="406"/>
      <c r="G608" s="406"/>
      <c r="L608" s="11"/>
    </row>
    <row r="609" spans="4:12" ht="12.75">
      <c r="D609" s="407"/>
      <c r="E609" s="403"/>
      <c r="F609" s="403"/>
      <c r="G609" s="403"/>
      <c r="L609" s="11"/>
    </row>
    <row r="610" spans="4:12" ht="12.75">
      <c r="D610" s="2"/>
      <c r="E610" s="458"/>
      <c r="F610" s="422"/>
      <c r="G610" s="422"/>
      <c r="H610" s="394"/>
      <c r="L610" s="11"/>
    </row>
    <row r="611" spans="4:7" ht="12.75">
      <c r="D611" s="404"/>
      <c r="E611" s="403"/>
      <c r="F611" s="403"/>
      <c r="G611" s="403"/>
    </row>
    <row r="612" spans="4:7" ht="12.75">
      <c r="D612" s="404"/>
      <c r="E612" s="403"/>
      <c r="F612" s="403"/>
      <c r="G612" s="403"/>
    </row>
    <row r="613" spans="5:7" ht="12.75">
      <c r="E613" s="39"/>
      <c r="G613" s="1"/>
    </row>
    <row r="615" ht="12.75">
      <c r="G615" s="1"/>
    </row>
    <row r="616" spans="5:7" ht="12.75">
      <c r="E616" s="1"/>
      <c r="F616" s="1"/>
      <c r="G616" s="1"/>
    </row>
    <row r="619" spans="5:7" ht="12.75">
      <c r="E619" s="1"/>
      <c r="F619" s="1"/>
      <c r="G619" s="1"/>
    </row>
  </sheetData>
  <sheetProtection/>
  <mergeCells count="100">
    <mergeCell ref="C267:D267"/>
    <mergeCell ref="C296:D298"/>
    <mergeCell ref="C268:D270"/>
    <mergeCell ref="C167:D167"/>
    <mergeCell ref="C181:D184"/>
    <mergeCell ref="C168:D170"/>
    <mergeCell ref="C235:D235"/>
    <mergeCell ref="C278:D279"/>
    <mergeCell ref="C295:D295"/>
    <mergeCell ref="A332:B334"/>
    <mergeCell ref="C546:D547"/>
    <mergeCell ref="A600:B601"/>
    <mergeCell ref="C376:D376"/>
    <mergeCell ref="C485:D485"/>
    <mergeCell ref="C599:D599"/>
    <mergeCell ref="A486:B487"/>
    <mergeCell ref="C465:D467"/>
    <mergeCell ref="C464:D464"/>
    <mergeCell ref="C562:D562"/>
    <mergeCell ref="A604:B604"/>
    <mergeCell ref="A599:B599"/>
    <mergeCell ref="A307:B309"/>
    <mergeCell ref="A563:B564"/>
    <mergeCell ref="C331:D331"/>
    <mergeCell ref="C603:D603"/>
    <mergeCell ref="A603:B603"/>
    <mergeCell ref="A534:B534"/>
    <mergeCell ref="C604:D604"/>
    <mergeCell ref="C600:D601"/>
    <mergeCell ref="A236:B239"/>
    <mergeCell ref="A181:B184"/>
    <mergeCell ref="C236:D239"/>
    <mergeCell ref="C377:D379"/>
    <mergeCell ref="A295:B295"/>
    <mergeCell ref="A277:B277"/>
    <mergeCell ref="A267:B267"/>
    <mergeCell ref="A235:B235"/>
    <mergeCell ref="C307:D309"/>
    <mergeCell ref="A268:B270"/>
    <mergeCell ref="C72:D74"/>
    <mergeCell ref="A72:B74"/>
    <mergeCell ref="A88:B90"/>
    <mergeCell ref="C40:D42"/>
    <mergeCell ref="C58:D58"/>
    <mergeCell ref="A20:B20"/>
    <mergeCell ref="C39:D39"/>
    <mergeCell ref="A71:B71"/>
    <mergeCell ref="A59:B61"/>
    <mergeCell ref="A21:B23"/>
    <mergeCell ref="E2:E3"/>
    <mergeCell ref="H2:H3"/>
    <mergeCell ref="A5:B7"/>
    <mergeCell ref="A1:I1"/>
    <mergeCell ref="A2:A3"/>
    <mergeCell ref="B2:C2"/>
    <mergeCell ref="D2:D3"/>
    <mergeCell ref="I2:I3"/>
    <mergeCell ref="F2:F3"/>
    <mergeCell ref="C5:D7"/>
    <mergeCell ref="C59:D61"/>
    <mergeCell ref="C21:D23"/>
    <mergeCell ref="A39:B39"/>
    <mergeCell ref="C20:D20"/>
    <mergeCell ref="C71:D71"/>
    <mergeCell ref="A58:B58"/>
    <mergeCell ref="C87:D87"/>
    <mergeCell ref="C180:D180"/>
    <mergeCell ref="A167:B167"/>
    <mergeCell ref="C88:D90"/>
    <mergeCell ref="C106:D109"/>
    <mergeCell ref="A180:B180"/>
    <mergeCell ref="A87:B87"/>
    <mergeCell ref="A168:B170"/>
    <mergeCell ref="C105:D105"/>
    <mergeCell ref="A602:B602"/>
    <mergeCell ref="A376:B376"/>
    <mergeCell ref="C563:D564"/>
    <mergeCell ref="A545:B545"/>
    <mergeCell ref="A465:B467"/>
    <mergeCell ref="A485:B485"/>
    <mergeCell ref="A509:B509"/>
    <mergeCell ref="C534:D534"/>
    <mergeCell ref="C404:D404"/>
    <mergeCell ref="A562:B562"/>
    <mergeCell ref="G2:G3"/>
    <mergeCell ref="C277:D277"/>
    <mergeCell ref="C486:D487"/>
    <mergeCell ref="A403:B403"/>
    <mergeCell ref="C306:D306"/>
    <mergeCell ref="A331:B331"/>
    <mergeCell ref="C332:D334"/>
    <mergeCell ref="C403:D403"/>
    <mergeCell ref="A105:B105"/>
    <mergeCell ref="A106:B109"/>
    <mergeCell ref="C545:D545"/>
    <mergeCell ref="C535:D535"/>
    <mergeCell ref="C510:D511"/>
    <mergeCell ref="C509:D509"/>
    <mergeCell ref="A535:B535"/>
    <mergeCell ref="A510:B511"/>
  </mergeCells>
  <printOptions horizontalCentered="1"/>
  <pageMargins left="0.15748031496062992" right="0.15748031496062992" top="0.35433070866141736" bottom="0.4330708661417323" header="0.31496062992125984" footer="0.2362204724409449"/>
  <pageSetup fitToHeight="12" horizontalDpi="600" verticalDpi="600" orientation="landscape" paperSize="9" scale="93" r:id="rId1"/>
  <headerFooter alignWithMargins="0">
    <oddFooter>&amp;R&amp;P</oddFooter>
  </headerFooter>
  <rowBreaks count="20" manualBreakCount="20">
    <brk id="39" max="8" man="1"/>
    <brk id="71" max="8" man="1"/>
    <brk id="102" max="8" man="1"/>
    <brk id="133" max="8" man="1"/>
    <brk id="162" max="8" man="1"/>
    <brk id="193" max="8" man="1"/>
    <brk id="221" max="8" man="1"/>
    <brk id="256" max="8" man="1"/>
    <brk id="286" max="8" man="1"/>
    <brk id="319" max="8" man="1"/>
    <brk id="348" max="8" man="1"/>
    <brk id="376" max="8" man="1"/>
    <brk id="403" max="8" man="1"/>
    <brk id="437" max="8" man="1"/>
    <brk id="480" max="8" man="1"/>
    <brk id="508" max="8" man="1"/>
    <brk id="537" max="8" man="1"/>
    <brk id="567" max="8" man="1"/>
    <brk id="596" max="8" man="1"/>
    <brk id="604" max="7" man="1"/>
  </rowBreaks>
  <colBreaks count="1" manualBreakCount="1">
    <brk id="9" max="50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6">
      <selection activeCell="K7" sqref="K7"/>
    </sheetView>
  </sheetViews>
  <sheetFormatPr defaultColWidth="9.140625" defaultRowHeight="12.75"/>
  <cols>
    <col min="1" max="1" width="7.28125" style="0" customWidth="1"/>
    <col min="2" max="2" width="49.00390625" style="0" customWidth="1"/>
    <col min="3" max="3" width="19.00390625" style="0" hidden="1" customWidth="1"/>
    <col min="4" max="6" width="17.421875" style="0" customWidth="1"/>
    <col min="7" max="7" width="12.421875" style="0" customWidth="1"/>
    <col min="8" max="8" width="10.8515625" style="0" customWidth="1"/>
    <col min="9" max="10" width="13.7109375" style="0" customWidth="1"/>
    <col min="11" max="11" width="14.140625" style="0" customWidth="1"/>
    <col min="12" max="12" width="13.7109375" style="0" customWidth="1"/>
    <col min="13" max="13" width="13.8515625" style="0" customWidth="1"/>
    <col min="14" max="14" width="14.7109375" style="0" customWidth="1"/>
  </cols>
  <sheetData>
    <row r="1" spans="1:8" ht="43.5" customHeight="1">
      <c r="A1" s="558" t="s">
        <v>646</v>
      </c>
      <c r="B1" s="559"/>
      <c r="C1" s="559"/>
      <c r="D1" s="559"/>
      <c r="E1" s="559"/>
      <c r="F1" s="559"/>
      <c r="G1" s="559"/>
      <c r="H1" s="559"/>
    </row>
    <row r="2" spans="1:8" ht="16.5" customHeight="1" thickBot="1">
      <c r="A2" s="560" t="s">
        <v>381</v>
      </c>
      <c r="B2" s="561"/>
      <c r="C2" s="46"/>
      <c r="D2" s="46"/>
      <c r="E2" s="46"/>
      <c r="F2" s="46"/>
      <c r="G2" s="46"/>
      <c r="H2" s="46"/>
    </row>
    <row r="3" spans="1:8" ht="60" customHeight="1" thickTop="1">
      <c r="A3" s="265" t="s">
        <v>213</v>
      </c>
      <c r="B3" s="286" t="s">
        <v>214</v>
      </c>
      <c r="C3" s="313" t="s">
        <v>448</v>
      </c>
      <c r="D3" s="313" t="s">
        <v>500</v>
      </c>
      <c r="E3" s="313" t="s">
        <v>633</v>
      </c>
      <c r="F3" s="313" t="s">
        <v>643</v>
      </c>
      <c r="G3" s="313" t="s">
        <v>109</v>
      </c>
      <c r="H3" s="266" t="s">
        <v>114</v>
      </c>
    </row>
    <row r="4" spans="1:8" ht="15" customHeight="1">
      <c r="A4" s="118">
        <v>1</v>
      </c>
      <c r="B4" s="112">
        <v>2</v>
      </c>
      <c r="C4" s="119"/>
      <c r="D4" s="119" t="s">
        <v>425</v>
      </c>
      <c r="E4" s="119" t="s">
        <v>639</v>
      </c>
      <c r="F4" s="119" t="s">
        <v>644</v>
      </c>
      <c r="G4" s="119" t="s">
        <v>645</v>
      </c>
      <c r="H4" s="120">
        <v>7</v>
      </c>
    </row>
    <row r="5" spans="1:10" ht="12.75">
      <c r="A5" s="134" t="s">
        <v>58</v>
      </c>
      <c r="B5" s="137" t="s">
        <v>67</v>
      </c>
      <c r="C5" s="314" t="e">
        <f>SUM(SUMIF(Org!$A$8:Org!$A$602," 0111",Org!#REF!:Org!#REF!),SUMIF(Org!$A$10:Org!$A$602," 0160",Org!#REF!:Org!#REF!),SUMIF(Org!$A$10:Org!$A$602," 0180",Org!#REF!:Org!#REF!),SUMIF(Org!$A$10:Org!$A$602,"0170 ",Org!#REF!:Org!#REF!))-'B.pr. i prim. za nef. im.'!#REF!-'B.pr. i prim. za nef. im.'!#REF!</f>
        <v>#REF!</v>
      </c>
      <c r="D5" s="314">
        <f>SUM(SUMIF(Org!$A$8:Org!$A$602," 0111",Org!E$8:Org!E$602),SUMIF(Org!$A$10:Org!$A$602," 0160",Org!E$10:Org!E$603),SUMIF(Org!$A$10:Org!$A$602," 0180",Org!E$10:Org!E$603),SUMIF(Org!$A$9:Org!$A$602,"0113",Org!E$9:Org!E$602),SUMIF(Org!$A$10:Org!$A$602,"0170 ",Org!E$10:Org!E$602))-'B.pr. i prim. za nef. im.'!D105-'B.pr. i prim. za nef. im.'!D107</f>
        <v>5224650</v>
      </c>
      <c r="E5" s="314">
        <f>SUM(SUMIF(Org!$A$8:Org!$A$602," 0111",Org!F$8:Org!F$602),SUMIF(Org!$A$10:Org!$A$602," 0160",Org!F$10:Org!F$603),SUMIF(Org!$A$10:Org!$A$602," 0180",Org!F$10:Org!F$603),SUMIF(Org!$A$9:Org!$A$602,"0113",Org!F$9:Org!F$602),SUMIF(Org!$A$10:Org!$A$602,"0170 ",Org!F$10:Org!F$602))-'B.pr. i prim. za nef. im.'!E105-'B.pr. i prim. za nef. im.'!E107</f>
        <v>443482.70999999996</v>
      </c>
      <c r="F5" s="314">
        <f>SUM(SUMIF(Org!$A$8:Org!$A$602," 0111",Org!G$8:Org!G$602),SUMIF(Org!$A$10:Org!$A$602," 0160",Org!G$10:Org!G$603),SUMIF(Org!$A$10:Org!$A$602," 0180",Org!G$10:Org!G$603),SUMIF(Org!$A$9:Org!$A$602,"0113",Org!G$9:Org!G$602),SUMIF(Org!$A$10:Org!$A$602,"0170 ",Org!G$10:Org!G$602))-'B.pr. i prim. za nef. im.'!F105-'B.pr. i prim. za nef. im.'!F107</f>
        <v>5668132.71</v>
      </c>
      <c r="G5" s="314">
        <f>F5/D5*100</f>
        <v>108.48827596106916</v>
      </c>
      <c r="H5" s="276">
        <f>F5/$F$15*100</f>
        <v>20.18620187048296</v>
      </c>
      <c r="J5" s="1"/>
    </row>
    <row r="6" spans="1:10" ht="12.75">
      <c r="A6" s="134" t="s">
        <v>59</v>
      </c>
      <c r="B6" s="315" t="s">
        <v>68</v>
      </c>
      <c r="C6" s="314" t="e">
        <f>SUM(SUMIF(Org!$A$10:Org!$A$603,"02",Org!#REF!:Org!#REF!))</f>
        <v>#REF!</v>
      </c>
      <c r="D6" s="314">
        <f>SUM(SUMIF(Org!$A$10:Org!$A$603,"02",Org!E$10:Org!E$603))</f>
        <v>0</v>
      </c>
      <c r="E6" s="314">
        <f>SUM(SUMIF(Org!$A$10:Org!$A$603,"02",Org!F$10:Org!F$603))</f>
        <v>0</v>
      </c>
      <c r="F6" s="314">
        <f>SUM(SUMIF(Org!$A$10:Org!$A$603,"02",Org!G$10:Org!G$603))</f>
        <v>0</v>
      </c>
      <c r="G6" s="314" t="e">
        <f aca="true" t="shared" si="0" ref="G6:G14">F6/D6*100</f>
        <v>#DIV/0!</v>
      </c>
      <c r="H6" s="276">
        <f aca="true" t="shared" si="1" ref="H6:H14">F6/$F$15*100</f>
        <v>0</v>
      </c>
      <c r="J6" s="1"/>
    </row>
    <row r="7" spans="1:10" ht="12.75">
      <c r="A7" s="134" t="s">
        <v>60</v>
      </c>
      <c r="B7" s="137" t="s">
        <v>69</v>
      </c>
      <c r="C7" s="314" t="e">
        <f>SUM(SUMIF(Org!$A$10:Org!$A$602," 0320",Org!#REF!:Org!#REF!),SUMIF(Org!$A$10:Org!$A$602,"0350",Org!#REF!:Org!#REF!))</f>
        <v>#REF!</v>
      </c>
      <c r="D7" s="314">
        <f>SUM(SUMIF(Org!$A$10:Org!$A$602," 0320",Org!E$10:Org!E$603),SUMIF(Org!$A$10:Org!$A$602,"0350"))</f>
        <v>289750</v>
      </c>
      <c r="E7" s="314">
        <f>SUM(SUMIF(Org!$A$10:Org!$A$602," 0320",Org!F$10:Org!F$603),SUMIF(Org!$A$10:Org!$A$602,"0350"))</f>
        <v>0</v>
      </c>
      <c r="F7" s="314">
        <f>SUM(SUMIF(Org!$A$10:Org!$A$602," 0320",Org!G$10:Org!G$603),SUMIF(Org!$A$10:Org!$A$602,"0350"))</f>
        <v>289750</v>
      </c>
      <c r="G7" s="314">
        <f t="shared" si="0"/>
        <v>100</v>
      </c>
      <c r="H7" s="276">
        <f t="shared" si="1"/>
        <v>1.0319010318254243</v>
      </c>
      <c r="J7" s="1"/>
    </row>
    <row r="8" spans="1:10" ht="12.75">
      <c r="A8" s="134" t="s">
        <v>61</v>
      </c>
      <c r="B8" s="208" t="s">
        <v>70</v>
      </c>
      <c r="C8" s="314" t="e">
        <f>SUM(SUMIF(Org!$A$10:Org!$A$602," 0412",Org!#REF!:Org!#REF!),SUMIF(Org!$A$10:Org!$A$602," 0421",Org!#REF!:Org!#REF!),SUMIF(Org!$A$10:Org!$A$602," 0422",Org!#REF!:Org!#REF!),SUMIF(Org!$A$10:Org!$A$602," 0442",Org!#REF!:Org!#REF!),SUMIF(Org!$A$10:Org!$A$602," 0451",Org!#REF!:Org!#REF!),SUMIF(Org!$A$10:Org!$A$602," 0473",Org!#REF!:Org!#REF!),SUMIF(Org!$A$10:Org!$A$602,"0474 ",Org!#REF!:Org!#REF!),SUMIF(Org!$A$10:Org!$A$602,"0490 ",Org!#REF!:Org!#REF!))</f>
        <v>#REF!</v>
      </c>
      <c r="D8" s="314">
        <f>SUM(SUMIF(Org!$A$10:Org!$A$602," 0412",Org!E$10:Org!E$602),SUMIF(Org!$A$10:Org!$A$602," 0421",Org!E$10:Org!E$602),SUMIF(Org!$A$10:Org!$A$602," 0422",Org!E$10:Org!E$602),SUMIF(Org!$A$10:Org!$A$602," 0442",Org!E$10:Org!E$602),SUMIF(Org!$A$10:Org!$A$602," 0451",Org!E$10:Org!E$603),SUMIF(Org!$A$10:Org!$A$602," 0473",Org!E$10:Org!E$603),SUMIF(Org!$A$10:Org!$A$602,"0474 ",Org!E$10:Org!E$602),SUMIF(Org!$A$10:Org!$A$602,"0490 ",Org!E$10:Org!E$602))</f>
        <v>1220000</v>
      </c>
      <c r="E8" s="314">
        <f>SUM(SUMIF(Org!$A$10:Org!$A$602," 0412",Org!F$10:Org!F$602),SUMIF(Org!$A$10:Org!$A$602," 0421",Org!F$10:Org!F$602),SUMIF(Org!$A$10:Org!$A$602," 0422",Org!F$10:Org!F$602),SUMIF(Org!$A$10:Org!$A$602," 0442",Org!F$10:Org!F$602),SUMIF(Org!$A$10:Org!$A$602," 0451",Org!F$10:Org!F$603),SUMIF(Org!$A$10:Org!$A$602," 0473",Org!F$10:Org!F$603),SUMIF(Org!$A$10:Org!$A$602,"0474 ",Org!F$10:Org!F$602),SUMIF(Org!$A$10:Org!$A$602,"0490 ",Org!F$10:Org!F$602))</f>
        <v>37610</v>
      </c>
      <c r="F8" s="314">
        <f>SUM(SUMIF(Org!$A$10:Org!$A$602," 0412",Org!G$10:Org!G$602),SUMIF(Org!$A$10:Org!$A$602," 0421",Org!G$10:Org!G$602),SUMIF(Org!$A$10:Org!$A$602," 0422",Org!G$10:Org!G$602),SUMIF(Org!$A$10:Org!$A$602," 0442",Org!G$10:Org!G$602),SUMIF(Org!$A$10:Org!$A$602," 0451",Org!G$10:Org!G$603),SUMIF(Org!$A$10:Org!$A$602," 0473",Org!G$10:Org!G$603),SUMIF(Org!$A$10:Org!$A$602,"0474 ",Org!G$10:Org!G$602),SUMIF(Org!$A$10:Org!$A$602,"0490 ",Org!G$10:Org!G$602))</f>
        <v>1257610</v>
      </c>
      <c r="G8" s="314">
        <f t="shared" si="0"/>
        <v>103.08278688524591</v>
      </c>
      <c r="H8" s="276">
        <f t="shared" si="1"/>
        <v>4.478788806329497</v>
      </c>
      <c r="I8" s="1"/>
      <c r="J8" s="1"/>
    </row>
    <row r="9" spans="1:10" ht="12.75">
      <c r="A9" s="134" t="s">
        <v>62</v>
      </c>
      <c r="B9" s="208" t="s">
        <v>71</v>
      </c>
      <c r="C9" s="314" t="e">
        <f>SUM(SUMIF(Org!$A$10:Org!$A$602," 0510",Org!#REF!:Org!#REF!))</f>
        <v>#REF!</v>
      </c>
      <c r="D9" s="314">
        <f>SUM(SUMIF(Org!$A$10:Org!$A$602," 0510",Org!E$10:Org!E$602))</f>
        <v>0</v>
      </c>
      <c r="E9" s="314">
        <f>SUM(SUMIF(Org!$A$10:Org!$A$602," 0510",Org!F$10:Org!F$602))</f>
        <v>61000</v>
      </c>
      <c r="F9" s="314">
        <f>SUM(SUMIF(Org!$A$10:Org!$A$602," 0510",Org!G$10:Org!G$602))</f>
        <v>61000</v>
      </c>
      <c r="G9" s="314" t="e">
        <f t="shared" si="0"/>
        <v>#DIV/0!</v>
      </c>
      <c r="H9" s="276">
        <f t="shared" si="1"/>
        <v>0.21724232248956302</v>
      </c>
      <c r="J9" s="1"/>
    </row>
    <row r="10" spans="1:10" ht="12.75">
      <c r="A10" s="134" t="s">
        <v>63</v>
      </c>
      <c r="B10" s="208" t="s">
        <v>72</v>
      </c>
      <c r="C10" s="314" t="e">
        <f>SUM(SUMIF(Org!$A$10:Org!$A$602,"0610 ",Org!#REF!:Org!#REF!),SUMIF(Org!$A$10:Org!$A$602,"0630 ",Org!#REF!:Org!#REF!),SUMIF(Org!$A$10:Org!$A$602,"0620",Org!#REF!:Org!#REF!),SUMIF(Org!$A$10:Org!$A$602,"0660",Org!#REF!:Org!#REF!))</f>
        <v>#REF!</v>
      </c>
      <c r="D10" s="314">
        <f>SUM(SUMIF(Org!$A$10:Org!$A$602,"0610 ",Org!E$10:Org!E$602),SUMIF(Org!$A$10:Org!$A$602,"0630 ",Org!E$10:Org!E$602),SUMIF(Org!$A$10:Org!$A$602,"0620",Org!E$10:Org!E$602),SUMIF(Org!$A$10:Org!$A$602,"0660",Org!E$10:Org!E$602))</f>
        <v>7682500</v>
      </c>
      <c r="E10" s="314">
        <f>SUM(SUMIF(Org!$A$10:Org!$A$602,"0610 ",Org!F$10:Org!F$602),SUMIF(Org!$A$10:Org!$A$602,"0630 ",Org!F$10:Org!F$602),SUMIF(Org!$A$10:Org!$A$602,"0620",Org!F$10:Org!F$602),SUMIF(Org!$A$10:Org!$A$602,"0660",Org!F$10:Org!F$602))</f>
        <v>951145</v>
      </c>
      <c r="F10" s="314">
        <f>SUM(SUMIF(Org!$A$10:Org!$A$602,"0610 ",Org!G$10:Org!G$602),SUMIF(Org!$A$10:Org!$A$602,"0630 ",Org!G$10:Org!G$602),SUMIF(Org!$A$10:Org!$A$602,"0620",Org!G$10:Org!G$602),SUMIF(Org!$A$10:Org!$A$602,"0660",Org!G$10:Org!G$602))</f>
        <v>8633645</v>
      </c>
      <c r="G10" s="314">
        <f t="shared" si="0"/>
        <v>112.38067035470225</v>
      </c>
      <c r="H10" s="276">
        <f t="shared" si="1"/>
        <v>30.747427727055793</v>
      </c>
      <c r="J10" s="1"/>
    </row>
    <row r="11" spans="1:10" ht="12.75">
      <c r="A11" s="134" t="s">
        <v>64</v>
      </c>
      <c r="B11" s="72" t="s">
        <v>73</v>
      </c>
      <c r="C11" s="314" t="e">
        <f>SUM(SUMIF(Org!$A$10:Org!$A$602,"0740",Org!#REF!:Org!#REF!),SUMIF(Org!$A$10:Org!$A$602,"0720",Org!#REF!:Org!#REF!),SUMIF(Org!$A$10:Org!$A$602,"0734",Org!#REF!:Org!#REF!))</f>
        <v>#REF!</v>
      </c>
      <c r="D11" s="314">
        <f>SUM(SUMIF(Org!$A$10:Org!$A$602,"0740",Org!E$10:Org!E$602),SUMIF(Org!$A$10:Org!$A$602,"0721",Org!E$10:Org!E$602),SUMIF(Org!$A$10:Org!$A$602,"0734",Org!E$10:Org!E$602))</f>
        <v>4438200</v>
      </c>
      <c r="E11" s="314">
        <f>SUM(SUMIF(Org!$A$10:Org!$A$602,"0740",Org!F$10:Org!F$602),SUMIF(Org!$A$10:Org!$A$602,"0721",Org!F$10:Org!F$602),SUMIF(Org!$A$10:Org!$A$602,"0734",Org!F$10:Org!F$602))</f>
        <v>269000</v>
      </c>
      <c r="F11" s="314">
        <f>SUM(SUMIF(Org!$A$10:Org!$A$602,"0740",Org!G$10:Org!G$602),SUMIF(Org!$A$10:Org!$A$602,"0721",Org!G$10:Org!G$602),SUMIF(Org!$A$10:Org!$A$602,"0734",Org!G$10:Org!G$602))</f>
        <v>4707200</v>
      </c>
      <c r="G11" s="314">
        <f t="shared" si="0"/>
        <v>106.06101572709656</v>
      </c>
      <c r="H11" s="276">
        <f t="shared" si="1"/>
        <v>16.763984597096247</v>
      </c>
      <c r="I11" s="1"/>
      <c r="J11" s="1"/>
    </row>
    <row r="12" spans="1:10" ht="12.75">
      <c r="A12" s="134" t="s">
        <v>65</v>
      </c>
      <c r="B12" s="72" t="s">
        <v>74</v>
      </c>
      <c r="C12" s="314" t="e">
        <f>SUM(SUMIF(Org!$A$10:Org!$A$602,"0810",Org!#REF!),SUMIF(Org!$A$10:Org!$A$603,"0820",Org!#REF!:Org!#REF!),SUMIF(Org!$A$10:Org!$A$603,"0830",Org!#REF!:Org!#REF!),SUMIF(Org!$A$10:Org!$A$602,"0840",Org!#REF!:Org!#REF!),SUMIF(Org!$A$10:Org!$A$602,"0860",Org!#REF!:Org!#REF!))-'B.pr. i prim. za nef. im.'!#REF!</f>
        <v>#REF!</v>
      </c>
      <c r="D12" s="314">
        <f>SUM(SUMIF(Org!$A$10:Org!$A$602,"0810",Org!E$10:E$603),SUMIF(Org!$A$10:Org!$A$603,"0820",Org!E$10:Org!E$603),SUMIF(Org!$A$10:Org!$A$603,"0830",Org!E$10:Org!E$603),SUMIF(Org!$A$10:Org!$A$602,"0840",Org!E$10:Org!E$603),SUMIF(Org!$A$10:Org!$A$602,"0860",Org!E$10:Org!E$603))-'B.pr. i prim. za nef. im.'!D112-'B.pr. i prim. za nef. im.'!D110</f>
        <v>1141300</v>
      </c>
      <c r="E12" s="314">
        <f>SUM(SUMIF(Org!$A$10:Org!$A$602,"0810",Org!F$10:F$603),SUMIF(Org!$A$10:Org!$A$603,"0820",Org!F$10:Org!F$603),SUMIF(Org!$A$10:Org!$A$603,"0830",Org!F$10:Org!F$603),SUMIF(Org!$A$10:Org!$A$602,"0840",Org!F$10:Org!F$603),SUMIF(Org!$A$10:Org!$A$602,"0860",Org!F$10:Org!F$603))-'B.pr. i prim. za nef. im.'!E112-'B.pr. i prim. za nef. im.'!E110</f>
        <v>93441.54999999999</v>
      </c>
      <c r="F12" s="314">
        <f>SUM(SUMIF(Org!$A$10:Org!$A$602,"0810",Org!G$10:G$603),SUMIF(Org!$A$10:Org!$A$603,"0820",Org!G$10:Org!G$603),SUMIF(Org!$A$10:Org!$A$603,"0830",Org!G$10:Org!G$603),SUMIF(Org!$A$10:Org!$A$602,"0840",Org!G$10:Org!G$603),SUMIF(Org!$A$10:Org!$A$602,"0860",Org!G$10:Org!G$603))-'B.pr. i prim. za nef. im.'!F112-'B.pr. i prim. za nef. im.'!F110</f>
        <v>1234741.5499999998</v>
      </c>
      <c r="G12" s="314">
        <f t="shared" si="0"/>
        <v>108.18729080872687</v>
      </c>
      <c r="H12" s="276">
        <f t="shared" si="1"/>
        <v>4.397346262235457</v>
      </c>
      <c r="J12" s="1"/>
    </row>
    <row r="13" spans="1:10" ht="14.25">
      <c r="A13" s="134" t="s">
        <v>66</v>
      </c>
      <c r="B13" s="208" t="s">
        <v>75</v>
      </c>
      <c r="C13" s="314" t="e">
        <f>SUM(SUMIF(Org!$A$10:Org!$A$602,"0912",Org!#REF!:Org!#REF!),SUMIF(Org!$A$10:Org!$A$602,"0911",Org!#REF!:Org!#REF!),SUMIF(Org!$A$10:Org!$A$602,"0941",Org!#REF!:Org!#REF!),SUMIF(Org!$A$10:Org!$A$602,"0942",Org!#REF!:Org!#REF!),SUMIF(Org!$A$10:Org!$A$602,"0922",Org!#REF!:Org!#REF!),SUMIF(Org!$A$10:Org!$A$602,"0921",Org!#REF!:Org!#REF!))</f>
        <v>#REF!</v>
      </c>
      <c r="D13" s="314">
        <f>SUM(SUMIF(Org!$A$10:Org!$A$602,"0912",Org!E$10:Org!E$603),SUMIF(Org!$A$10:Org!$A$602,"0911",Org!E$10:Org!E$603),SUMIF(Org!$A$10:Org!$A$602,"0941",Org!E$10:Org!E$603),SUMIF(Org!$A$10:Org!$A$602,"0942",Org!E$10:Org!E$603),SUMIF(Org!$A$10:Org!$A$602,"0922",Org!E$10:Org!E$603),SUMIF(Org!$A$10:Org!$A$602,"0921",Org!E$10:Org!E$603))</f>
        <v>1579410</v>
      </c>
      <c r="E13" s="314">
        <f>SUM(SUMIF(Org!$A$10:Org!$A$602,"0912",Org!F$10:Org!F$603),SUMIF(Org!$A$10:Org!$A$602,"0911",Org!F$10:Org!F$603),SUMIF(Org!$A$10:Org!$A$602,"0941",Org!F$10:Org!F$603),SUMIF(Org!$A$10:Org!$A$602,"0942",Org!F$10:Org!F$603),SUMIF(Org!$A$10:Org!$A$602,"0922",Org!F$10:Org!F$603),SUMIF(Org!$A$10:Org!$A$602,"0921",Org!F$10:Org!F$603))</f>
        <v>181863.91000000003</v>
      </c>
      <c r="F13" s="314">
        <f>SUM(SUMIF(Org!$A$10:Org!$A$602,"0912",Org!G$10:Org!G$603),SUMIF(Org!$A$10:Org!$A$602,"0911",Org!G$10:Org!G$603),SUMIF(Org!$A$10:Org!$A$602,"0941",Org!G$10:Org!G$603),SUMIF(Org!$A$10:Org!$A$602,"0942",Org!G$10:Org!G$603),SUMIF(Org!$A$10:Org!$A$602,"0922",Org!G$10:Org!G$603),SUMIF(Org!$A$10:Org!$A$602,"0921",Org!G$10:Org!G$603))</f>
        <v>1761273.9100000001</v>
      </c>
      <c r="G13" s="314">
        <f t="shared" si="0"/>
        <v>111.51467383390002</v>
      </c>
      <c r="H13" s="276">
        <f t="shared" si="1"/>
        <v>6.272512045060223</v>
      </c>
      <c r="J13" s="41"/>
    </row>
    <row r="14" spans="1:10" ht="12.75">
      <c r="A14" s="281">
        <v>10</v>
      </c>
      <c r="B14" s="208" t="s">
        <v>76</v>
      </c>
      <c r="C14" s="314" t="e">
        <f>SUM(SUMIF(Org!$A$10:Org!$A$603,"1011",Org!#REF!:Org!#REF!),SUMIF(Org!$A$10:Org!$A$603,"1020",Org!#REF!:Org!#REF!),SUMIF(Org!$A$10:Org!$A$603,"1090",Org!#REF!:Org!#REF!),SUMIF(Org!$A$10:Org!$A$603,"1040",Org!#REF!:Org!#REF!))</f>
        <v>#REF!</v>
      </c>
      <c r="D14" s="314">
        <f>SUM(SUMIF(Org!$A$10:Org!$A$603,"1011",Org!E$10:Org!E$603),SUMIF(Org!$A$10:Org!$A$603,"1020",Org!E$10:Org!E$603),SUMIF(Org!$A$10:Org!$A$603,"1090",Org!E$10:Org!E$603),SUMIF(Org!$A$9:Org!$A$603,"1070",Org!E$9:Org!E$603),SUMIF(Org!$A$10:Org!$A$603,"1040",Org!E$10:Org!E$603))</f>
        <v>4028200</v>
      </c>
      <c r="E14" s="314">
        <f>SUM(SUMIF(Org!$A$10:Org!$A$603,"1011",Org!F$10:Org!F$603),SUMIF(Org!$A$10:Org!$A$603,"1020",Org!F$10:Org!F$603),SUMIF(Org!$A$10:Org!$A$603,"1090",Org!F$10:Org!F$603),SUMIF(Org!$A$9:Org!$A$603,"1070",Org!F$9:Org!F$603),SUMIF(Org!$A$10:Org!$A$603,"1040",Org!F$10:Org!F$603))</f>
        <v>437690</v>
      </c>
      <c r="F14" s="314">
        <f>SUM(SUMIF(Org!$A$10:Org!$A$603,"1011",Org!G$10:Org!G$603),SUMIF(Org!$A$10:Org!$A$603,"1020",Org!G$10:Org!G$603),SUMIF(Org!$A$10:Org!$A$603,"1090",Org!G$10:Org!G$603),SUMIF(Org!$A$9:Org!$A$603,"1070",Org!G$9:Org!G$603),SUMIF(Org!$A$10:Org!$A$603,"1040",Org!G$10:Org!G$603))</f>
        <v>4465890</v>
      </c>
      <c r="G14" s="314">
        <f t="shared" si="0"/>
        <v>110.86564718732932</v>
      </c>
      <c r="H14" s="276">
        <f t="shared" si="1"/>
        <v>15.904595337424828</v>
      </c>
      <c r="I14" s="1"/>
      <c r="J14" s="1"/>
    </row>
    <row r="15" spans="1:10" ht="22.5" customHeight="1" thickBot="1">
      <c r="A15" s="316"/>
      <c r="B15" s="317" t="s">
        <v>335</v>
      </c>
      <c r="C15" s="318" t="e">
        <f>SUM(C5:C14)</f>
        <v>#REF!</v>
      </c>
      <c r="D15" s="318">
        <f>SUM(D5:D14)</f>
        <v>25604010</v>
      </c>
      <c r="E15" s="318">
        <f>SUM(E5:E14)</f>
        <v>2475233.17</v>
      </c>
      <c r="F15" s="318">
        <f>SUM(F5:F14)</f>
        <v>28079243.17</v>
      </c>
      <c r="G15" s="399">
        <f>F15/D15*100</f>
        <v>109.6673652681748</v>
      </c>
      <c r="H15" s="319">
        <f>F15/F15*100</f>
        <v>100</v>
      </c>
      <c r="I15" s="1"/>
      <c r="J15" s="1"/>
    </row>
    <row r="16" spans="3:10" ht="13.5" thickTop="1">
      <c r="C16" s="1"/>
      <c r="D16" s="1"/>
      <c r="E16" s="1"/>
      <c r="F16" s="1"/>
      <c r="G16" s="1"/>
      <c r="H16" s="1"/>
      <c r="J16" s="1"/>
    </row>
    <row r="17" spans="1:2" ht="17.25" customHeight="1" thickBot="1">
      <c r="A17" s="562" t="s">
        <v>387</v>
      </c>
      <c r="B17" s="562"/>
    </row>
    <row r="18" spans="1:8" ht="67.5" customHeight="1" thickTop="1">
      <c r="A18" s="320" t="s">
        <v>213</v>
      </c>
      <c r="B18" s="305" t="s">
        <v>382</v>
      </c>
      <c r="C18" s="313" t="s">
        <v>448</v>
      </c>
      <c r="D18" s="313" t="s">
        <v>500</v>
      </c>
      <c r="E18" s="313" t="s">
        <v>633</v>
      </c>
      <c r="F18" s="313" t="s">
        <v>643</v>
      </c>
      <c r="G18" s="313" t="s">
        <v>109</v>
      </c>
      <c r="H18" s="266" t="s">
        <v>114</v>
      </c>
    </row>
    <row r="19" spans="1:8" ht="14.25" customHeight="1" thickBot="1">
      <c r="A19" s="118">
        <v>1</v>
      </c>
      <c r="B19" s="112">
        <v>2</v>
      </c>
      <c r="C19" s="119"/>
      <c r="D19" s="119" t="s">
        <v>425</v>
      </c>
      <c r="E19" s="119" t="s">
        <v>639</v>
      </c>
      <c r="F19" s="119" t="s">
        <v>644</v>
      </c>
      <c r="G19" s="119" t="s">
        <v>645</v>
      </c>
      <c r="H19" s="120">
        <v>7</v>
      </c>
    </row>
    <row r="20" spans="1:8" ht="12.75">
      <c r="A20" s="321" t="s">
        <v>383</v>
      </c>
      <c r="B20" s="322" t="s">
        <v>384</v>
      </c>
      <c r="C20" s="323" t="e">
        <f>C15-C21</f>
        <v>#REF!</v>
      </c>
      <c r="D20" s="323">
        <f>D15-D21</f>
        <v>23085300</v>
      </c>
      <c r="E20" s="323">
        <f>E15-E21</f>
        <v>2207673.11</v>
      </c>
      <c r="F20" s="323">
        <f>F15-F21</f>
        <v>25292973.110000003</v>
      </c>
      <c r="G20" s="433">
        <f>F20/D20*100</f>
        <v>109.56311206698636</v>
      </c>
      <c r="H20" s="324">
        <f>F20/F22*100</f>
        <v>90.07711837840108</v>
      </c>
    </row>
    <row r="21" spans="1:9" ht="13.5" thickBot="1">
      <c r="A21" s="325" t="s">
        <v>385</v>
      </c>
      <c r="B21" s="326" t="s">
        <v>386</v>
      </c>
      <c r="C21" s="282" t="e">
        <f>SUM(SUMIF(Org!$A$10:Org!$A$603,"0734",Org!#REF!:Org!#REF!),SUMIF(Org!$A$10:Org!$A$603,"0740",Org!#REF!:Org!#REF!),SUMIF(Org!$A$10:Org!$A$603,"0810",Org!#REF!:Org!#REF!),SUMIF(Org!$A$10:Org!$A$603,"0820",Org!#REF!:Org!#REF!),SUMIF(Org!$A$10:Org!$A$603,"0911",Org!#REF!:Org!#REF!),SUMIF(Org!$A$10:Org!$A$603,"0912",Org!#REF!:Org!#REF!),SUMIF(Org!$A$10:Org!$A$603,"0921",Org!#REF!:Org!#REF!),SUMIF(Org!$A$10:Org!$A$603,"0922",Org!#REF!:Org!#REF!),SUMIF(Org!$A$10:Org!$A$603,"0941",Org!#REF!:Org!#REF!),SUMIF(Org!$A$10:Org!$A$603,"1011",Org!#REF!:Org!#REF!),SUMIF(Org!$A$10:Org!$A$603,"1020",Org!#REF!:Org!#REF!),SUMIF(Org!$A$10:Org!$A$603,"1040",Org!#REF!:Org!#REF!))-'B.pr. i prim. za nef. im.'!#REF!</f>
        <v>#REF!</v>
      </c>
      <c r="D21" s="282">
        <f>SUM(SUMIF(Org!$A$10:Org!$A$603,"0734",Org!E$10:Org!E$603),SUMIF(Org!$A$10:Org!$A$603,"0740",Org!E$10:Org!E$603),SUMIF(Org!$A$10:Org!$A$603,"0810",Org!E$10:Org!E$603),SUMIF(Org!$A$10:Org!$A$603,"0820",Org!E$10:Org!E$603),SUMIF(Org!$A$10:Org!$A$603,"0911",Org!E$10:Org!E$603),SUMIF(Org!$A$10:Org!$A$603,"0912",Org!E$10:Org!E$603),SUMIF(Org!$A$10:Org!$A$603,"0921",Org!E$10:Org!E$603),SUMIF(Org!$A$10:Org!$A$603,"0922",Org!E$10:Org!E$603),SUMIF(Org!$A$10:Org!$A$603,"0941",Org!E$10:Org!E$603),SUMIF(Org!$A$10:Org!$A$603,"1011",Org!E$10:Org!E$603),SUMIF(Org!$A$10:Org!$A$603,"1020",Org!E$10:Org!E$603),SUMIF(Org!$A$10:Org!$A$603,"1040",Org!E$10:Org!E$603))-'B.pr. i prim. za nef. im.'!D111</f>
        <v>2518710</v>
      </c>
      <c r="E21" s="282">
        <f>SUM(SUMIF(Org!$A$10:Org!$A$603,"0734",Org!F$10:Org!F$603),SUMIF(Org!$A$10:Org!$A$603,"0740",Org!F$10:Org!F$603),SUMIF(Org!$A$10:Org!$A$603,"0810",Org!F$10:Org!F$603),SUMIF(Org!$A$10:Org!$A$603,"0820",Org!F$10:Org!F$603),SUMIF(Org!$A$10:Org!$A$603,"0911",Org!F$10:Org!F$603),SUMIF(Org!$A$10:Org!$A$603,"0912",Org!F$10:Org!F$603),SUMIF(Org!$A$10:Org!$A$603,"0921",Org!F$10:Org!F$603),SUMIF(Org!$A$10:Org!$A$603,"0922",Org!F$10:Org!F$603),SUMIF(Org!$A$10:Org!$A$603,"0941",Org!F$10:Org!F$603),SUMIF(Org!$A$10:Org!$A$603,"1011",Org!F$10:Org!F$603),SUMIF(Org!$A$10:Org!$A$603,"1020",Org!F$10:Org!F$603),SUMIF(Org!$A$10:Org!$A$603,"1040",Org!F$10:Org!F$603))-'B.pr. i prim. za nef. im.'!E111</f>
        <v>267560.06</v>
      </c>
      <c r="F21" s="282">
        <f>SUM(SUMIF(Org!$A$10:Org!$A$603,"0734",Org!G$10:Org!G$603),SUMIF(Org!$A$10:Org!$A$603,"0740",Org!G$10:Org!G$603),SUMIF(Org!$A$10:Org!$A$603,"0810",Org!G$10:Org!G$603),SUMIF(Org!$A$10:Org!$A$603,"0820",Org!G$10:Org!G$603),SUMIF(Org!$A$10:Org!$A$603,"0911",Org!G$10:Org!G$603),SUMIF(Org!$A$10:Org!$A$603,"0912",Org!G$10:Org!G$603),SUMIF(Org!$A$10:Org!$A$603,"0921",Org!G$10:Org!G$603),SUMIF(Org!$A$10:Org!$A$603,"0922",Org!G$10:Org!G$603),SUMIF(Org!$A$10:Org!$A$603,"0941",Org!G$10:Org!G$603),SUMIF(Org!$A$10:Org!$A$603,"1011",Org!G$10:Org!G$603),SUMIF(Org!$A$10:Org!$A$603,"1020",Org!G$10:Org!G$603),SUMIF(Org!$A$10:Org!$A$603,"1040",Org!G$10:Org!G$603))-'B.pr. i prim. za nef. im.'!F111</f>
        <v>2786270.06</v>
      </c>
      <c r="G21" s="434">
        <f>F21/D21*100</f>
        <v>110.62290061182114</v>
      </c>
      <c r="H21" s="327">
        <f>F21/F22*100</f>
        <v>9.92288162159892</v>
      </c>
      <c r="I21" s="1"/>
    </row>
    <row r="22" spans="1:10" ht="20.25" customHeight="1" thickBot="1">
      <c r="A22" s="316"/>
      <c r="B22" s="317" t="s">
        <v>335</v>
      </c>
      <c r="C22" s="328" t="e">
        <f>SUM(C20:C21)</f>
        <v>#REF!</v>
      </c>
      <c r="D22" s="328">
        <f>SUM(D20:D21)</f>
        <v>25604010</v>
      </c>
      <c r="E22" s="328">
        <f>SUM(E20:E21)</f>
        <v>2475233.17</v>
      </c>
      <c r="F22" s="328">
        <f>SUM(F20:F21)</f>
        <v>28079243.17</v>
      </c>
      <c r="G22" s="328">
        <f>F22/D22*100</f>
        <v>109.6673652681748</v>
      </c>
      <c r="H22" s="329">
        <f>F22/F22*100</f>
        <v>100</v>
      </c>
      <c r="J22" s="1"/>
    </row>
    <row r="23" spans="1:8" ht="20.25" customHeight="1" thickTop="1">
      <c r="A23" s="29"/>
      <c r="B23" s="29"/>
      <c r="C23" s="29"/>
      <c r="D23" s="29"/>
      <c r="E23" s="29"/>
      <c r="F23" s="29"/>
      <c r="G23" s="29"/>
      <c r="H23" s="29"/>
    </row>
    <row r="24" spans="1:10" ht="12" customHeight="1">
      <c r="A24" s="29"/>
      <c r="B24" s="35"/>
      <c r="C24" s="47"/>
      <c r="D24" s="47"/>
      <c r="E24" s="47"/>
      <c r="F24" s="47"/>
      <c r="G24" s="29"/>
      <c r="H24" s="29"/>
      <c r="J24" s="1"/>
    </row>
    <row r="25" ht="0.75" customHeight="1">
      <c r="F25" s="1">
        <f>'opsti dio'!E38+'opsti dio'!E35+'opsti dio'!E56+'opsti dio'!E63</f>
        <v>2380756.83</v>
      </c>
    </row>
    <row r="26" ht="12.75" hidden="1">
      <c r="F26" s="1">
        <f>F22+F25</f>
        <v>30460000</v>
      </c>
    </row>
  </sheetData>
  <sheetProtection/>
  <mergeCells count="3">
    <mergeCell ref="A1:H1"/>
    <mergeCell ref="A2:B2"/>
    <mergeCell ref="A17:B17"/>
  </mergeCells>
  <printOptions horizontalCentered="1"/>
  <pageMargins left="0.15748031496062992" right="0.15748031496062992" top="0.5511811023622047" bottom="0.5118110236220472" header="0.5118110236220472" footer="0.31496062992125984"/>
  <pageSetup horizontalDpi="600" verticalDpi="600" orientation="landscape" paperSize="9" scale="111" r:id="rId1"/>
  <headerFooter alignWithMargins="0">
    <oddFooter>&amp;R&amp;P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User</cp:lastModifiedBy>
  <cp:lastPrinted>2022-06-27T11:11:21Z</cp:lastPrinted>
  <dcterms:created xsi:type="dcterms:W3CDTF">2006-03-15T13:27:57Z</dcterms:created>
  <dcterms:modified xsi:type="dcterms:W3CDTF">2022-06-27T11:57:40Z</dcterms:modified>
  <cp:category/>
  <cp:version/>
  <cp:contentType/>
  <cp:contentStatus/>
</cp:coreProperties>
</file>