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6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im.'!$A$1:$H$107</definedName>
    <definedName name="_xlnm.Print_Area" localSheetId="3">'B.rash. i izdaci za nef. im.'!$A$1:$M$63</definedName>
    <definedName name="_xlnm.Print_Area" localSheetId="4">'Finansiranje'!$A$1:$E$43</definedName>
    <definedName name="_xlnm.Print_Area" localSheetId="6">'Funkc. kl.'!$A$1:$H$29</definedName>
    <definedName name="_xlnm.Print_Area" localSheetId="1">'opsti dio'!$A$1:$F$66</definedName>
    <definedName name="_xlnm.Print_Area" localSheetId="5">'Org'!$A$1:$K$514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<sst xmlns="http://schemas.openxmlformats.org/spreadsheetml/2006/main" count="1145" uniqueCount="603">
  <si>
    <t>Трошкови репрезентације</t>
  </si>
  <si>
    <t>Помоћи појединцима</t>
  </si>
  <si>
    <t>Набавка опреме</t>
  </si>
  <si>
    <t>Накнаде трошкова запослених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</si>
  <si>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</si>
  <si>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</si>
  <si>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</si>
  <si>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</si>
  <si>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</si>
  <si>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</si>
  <si>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промет производа</t>
  </si>
  <si>
    <t>Порез на промет услуга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</si>
  <si>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</si>
  <si>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</si>
  <si>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</si>
  <si>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</si>
  <si>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</si>
  <si>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</si>
  <si>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</si>
  <si>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</si>
  <si>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</si>
  <si>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</si>
  <si>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>Приходи од пружања јавних услуга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</si>
  <si>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</si>
  <si>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</si>
  <si>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</si>
  <si>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</si>
  <si>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</si>
  <si>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</si>
  <si>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</si>
  <si>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Бруто плате запослених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</si>
  <si>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</si>
  <si>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</si>
  <si>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</si>
  <si>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</si>
  <si>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</si>
  <si>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</si>
  <si>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</si>
  <si>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</si>
  <si>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</si>
  <si>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</si>
  <si>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</si>
  <si>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</si>
  <si>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</si>
  <si>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</si>
  <si>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</si>
  <si>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</si>
  <si>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</si>
  <si>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</si>
  <si>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</si>
  <si>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</si>
  <si>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</si>
  <si>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</si>
  <si>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</si>
  <si>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</si>
  <si>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</si>
  <si>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</si>
  <si>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</si>
  <si>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</si>
  <si>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</si>
  <si>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</si>
  <si>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Набавка грађевинских објеката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</si>
  <si>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</si>
  <si>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</si>
  <si>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</si>
  <si>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</si>
  <si>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</si>
  <si>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</si>
  <si>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</si>
  <si>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</si>
  <si>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</si>
  <si>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</si>
  <si>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</si>
  <si>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</si>
  <si>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</si>
  <si>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</si>
  <si>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</si>
  <si>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</si>
  <si>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</si>
  <si>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</si>
  <si>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</si>
  <si>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</si>
  <si>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</si>
  <si>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</si>
  <si>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</si>
  <si>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</si>
  <si>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</si>
  <si>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</si>
  <si>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</si>
  <si>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</si>
  <si>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</si>
  <si>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</si>
  <si>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</si>
  <si>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</si>
  <si>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</si>
  <si>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</si>
  <si>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</si>
  <si>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Манифестације поводом обиљежавања Светог Саве (Светосавски бал и школска слава)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</si>
  <si>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</si>
  <si>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</si>
  <si>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</si>
  <si>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</si>
  <si>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</si>
  <si>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</si>
  <si>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</si>
  <si>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</si>
  <si>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</si>
  <si>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</si>
  <si>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Зимско одржавање лок. путева, улица, тротоара, тргова и др.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</si>
  <si>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</si>
  <si>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</si>
  <si>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</si>
  <si>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</si>
  <si>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</si>
  <si>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</si>
  <si>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</si>
  <si>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</si>
  <si>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</si>
  <si>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</si>
  <si>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 xml:space="preserve">% учешћа 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</si>
  <si>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општу управу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00750130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</si>
  <si>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финансије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00750140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</si>
  <si>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локални економски развој и
друштвене дјелатности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00750150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</si>
  <si>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просторно уређење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00750160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</si>
  <si>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стамбено- комуналне 
послове и инвестиције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00750170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</si>
  <si>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инспекцијске послове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 xml:space="preserve">  Број: 00750220</t>
    </r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</si>
  <si>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</si>
  <si>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</si>
  <si>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3</t>
  </si>
  <si>
    <t>Средства за мјере превентивне здравствене заштите животиња</t>
  </si>
  <si>
    <t>% 
учешћа</t>
  </si>
  <si>
    <t>Камата на  кредит од 5.000.000,00 КМ</t>
  </si>
  <si>
    <t>Камата на кредит од 4.000.000,00 КМ</t>
  </si>
  <si>
    <t>Камата на  кредит од 500.000,00 КМ</t>
  </si>
  <si>
    <t>Камата на кредит од 3.000.000,00 КМ (ИРБ)</t>
  </si>
  <si>
    <t>Отплата дуга по кредиту од 3.000.000,00 КМ (ИРБ)</t>
  </si>
  <si>
    <t>Отплата дуга по кредиту од 500.000,00 КМ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</si>
  <si>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</si>
  <si>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</si>
  <si>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</si>
  <si>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</si>
  <si>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Бруто накнаде трошкова запослених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</si>
  <si>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</si>
  <si>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</si>
  <si>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</si>
  <si>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</si>
  <si>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</si>
  <si>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</si>
  <si>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</si>
  <si>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</si>
  <si>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</si>
  <si>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</si>
  <si>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</si>
  <si>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</si>
  <si>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</si>
  <si>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</si>
  <si>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</si>
  <si>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</si>
  <si>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</si>
  <si>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</si>
  <si>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</si>
  <si>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</si>
  <si>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</si>
  <si>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</si>
  <si>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</si>
  <si>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</si>
  <si>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</si>
  <si>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</si>
  <si>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</si>
  <si>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</si>
  <si>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</si>
  <si>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</si>
  <si>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</si>
  <si>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</si>
  <si>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</si>
  <si>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</si>
  <si>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</si>
  <si>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</si>
  <si>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</si>
  <si>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</si>
  <si>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</si>
  <si>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</si>
  <si>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</si>
  <si>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</si>
  <si>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</si>
  <si>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</si>
  <si>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</si>
  <si>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</si>
  <si>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</si>
  <si>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</si>
  <si>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</si>
  <si>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</si>
  <si>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</si>
  <si>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</si>
  <si>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</si>
  <si>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</si>
  <si>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</si>
  <si>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</si>
  <si>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</si>
  <si>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</si>
  <si>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r>
      <t>Назив и број потрошачке јединице:</t>
    </r>
    <r>
      <rPr>
        <b/>
        <sz val="9"/>
        <rFont val="Arial"/>
        <family val="2"/>
      </rPr>
      <t xml:space="preserve">
Трезор општине Прњавор број:  9999999</t>
    </r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</si>
  <si>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</si>
  <si>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</si>
  <si>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</si>
  <si>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</si>
  <si>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</si>
  <si>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</si>
  <si>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</si>
  <si>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0734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</si>
  <si>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</si>
  <si>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</si>
  <si>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</si>
  <si>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</si>
  <si>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Примици од продаје пословних простора и гаража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</si>
  <si>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</si>
  <si>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</si>
  <si>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Средства за пројекат "Дневна брига за старе"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</si>
  <si>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</si>
  <si>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</si>
  <si>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</si>
  <si>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</si>
  <si>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</si>
  <si>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</si>
  <si>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</si>
  <si>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</si>
  <si>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</si>
  <si>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</si>
  <si>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</si>
  <si>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</si>
  <si>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</si>
  <si>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</si>
  <si>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Подкат-
егорија</t>
  </si>
  <si>
    <t>О П И С</t>
  </si>
  <si>
    <t>Плакете, повеље, награде и признања општине</t>
  </si>
  <si>
    <t>Трошкови чишћења улица, тротоара и зелeних површина са одвозом прикупљеног отпада, трошкови прања улица и тротоара, кошења зелених површина са одвозом покошене траве, шишања живих ограда са одвозом прикупљеног отпада и ванредни комунални послови по наруџби (сјечење растиња, одржавање дрвореда и сл.)</t>
  </si>
  <si>
    <t>Остали комунални послови по наруџби (саднице,  канали, уређење зелених површина, објекти на путу, чишћење сливника, одржавање јавних извора и др.)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</si>
  <si>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пољопривреду, 
водопривреду и шумарство
Број: 00750250</t>
    </r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</si>
  <si>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</si>
  <si>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</si>
  <si>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</si>
  <si>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</si>
  <si>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</si>
  <si>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r>
      <t xml:space="preserve">Назив и број потрошачке јединице:
</t>
    </r>
    <r>
      <rPr>
        <b/>
        <sz val="9"/>
        <rFont val="Arial"/>
        <family val="2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</si>
  <si>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9"/>
        <rFont val="Arial"/>
        <family val="2"/>
      </rPr>
      <t>Кабинет начелника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00750120</t>
    </r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</si>
  <si>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</si>
  <si>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</si>
  <si>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</si>
  <si>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</si>
  <si>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</si>
  <si>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</si>
  <si>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</si>
  <si>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</si>
  <si>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</si>
  <si>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</si>
  <si>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</si>
  <si>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</si>
  <si>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</si>
  <si>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</si>
  <si>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</si>
  <si>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</si>
  <si>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</si>
  <si>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</si>
  <si>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</si>
  <si>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</si>
  <si>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Комунална такса за коришћење простора за паркирање моторних, друмских и прикључних возила на уређеним и обиљеженим мјестима која је за то одредила скупштина општине</t>
  </si>
  <si>
    <t>Издаци за прибављање земљишта (потпуна експропријација)</t>
  </si>
  <si>
    <r>
      <t xml:space="preserve">Средства за једнократне помоћи - </t>
    </r>
    <r>
      <rPr>
        <b/>
        <sz val="9"/>
        <rFont val="Arial"/>
        <family val="2"/>
      </rPr>
      <t>буџетска резерва</t>
    </r>
  </si>
  <si>
    <r>
      <t xml:space="preserve">ЈП " Радио Прњавор " - </t>
    </r>
    <r>
      <rPr>
        <b/>
        <sz val="9"/>
        <rFont val="Arial"/>
        <family val="2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</si>
  <si>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</si>
  <si>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националних мањина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</si>
  <si>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9"/>
        <rFont val="Arial"/>
        <family val="2"/>
      </rPr>
      <t>буџетска резерва</t>
    </r>
  </si>
  <si>
    <r>
      <t xml:space="preserve">Помоћ основним школама - </t>
    </r>
    <r>
      <rPr>
        <b/>
        <sz val="9"/>
        <rFont val="Arial"/>
        <family val="2"/>
      </rPr>
      <t>буџетска резерва</t>
    </r>
  </si>
  <si>
    <t>Приходи од давања у закуп општинских пословних простора</t>
  </si>
  <si>
    <t>Трошкови закупнине паркинг простора</t>
  </si>
  <si>
    <t>Трошкови провизије за електронску наплату паркинга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</si>
  <si>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</si>
  <si>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</si>
  <si>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</si>
  <si>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Накнаде за воде - посебне водне накнаде 
(722442-722448, 722457, 722463, 722464, 722469)</t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</si>
  <si>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средњих школа "Иво Андрић" Прњавор
Број: 08150027</t>
    </r>
  </si>
  <si>
    <t>Камата на кредит од 2.500.000,00 КМ</t>
  </si>
  <si>
    <t>Отплата дуга по кредиту од 2.500.000,00 КМ</t>
  </si>
  <si>
    <t>ЈУ Центар средњих школа "Иво Андрић" Прњавор</t>
  </si>
  <si>
    <t>Средства за остале трошкове обиљежавања значајних датума (за трошкове вијенаца, цвијећа, свијећа и др.)</t>
  </si>
  <si>
    <t>Изградња и реконструкција објеката водоснабдијевања (базени, цјевоводи, изворишта, чесме и др.) из намјенских средстава за воде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</si>
  <si>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</si>
  <si>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</si>
  <si>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</si>
  <si>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</si>
  <si>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</si>
  <si>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r>
      <t xml:space="preserve">Средства за подстицај и развој спорта - </t>
    </r>
    <r>
      <rPr>
        <b/>
        <sz val="9"/>
        <rFont val="Arial"/>
        <family val="2"/>
      </rPr>
      <t>буџетска резерва</t>
    </r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</si>
  <si>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</si>
  <si>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</si>
  <si>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</si>
  <si>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r>
      <t>Назив и број потрошачке јединице:</t>
    </r>
    <r>
      <rPr>
        <b/>
        <sz val="9"/>
        <rFont val="Arial"/>
        <family val="2"/>
      </rPr>
      <t xml:space="preserve">
Остала буџетска потрошња 
Број:  00750190</t>
    </r>
  </si>
  <si>
    <t>Мјере за побољшање демографске ситуације (вантјелесна оплодња и сл.)</t>
  </si>
  <si>
    <t>Изградња водопривредних објеката-брана, мостова, воденица и сл. из намјенских средстава  за воде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</si>
  <si>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</si>
  <si>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</si>
  <si>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</si>
  <si>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</si>
  <si>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</si>
  <si>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</si>
  <si>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</si>
  <si>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</si>
  <si>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</si>
  <si>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</si>
  <si>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</si>
  <si>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</si>
  <si>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</si>
  <si>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</si>
  <si>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</si>
  <si>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</si>
  <si>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</si>
  <si>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</si>
  <si>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</si>
  <si>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</si>
  <si>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r>
      <t xml:space="preserve">Назив и број потрошачке јединице:
</t>
    </r>
    <r>
      <rPr>
        <b/>
        <sz val="9"/>
        <rFont val="Arial"/>
        <family val="2"/>
      </rPr>
      <t xml:space="preserve">Територијална ватрогасна јединица Прњавор
Број: 00750125 </t>
    </r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</si>
  <si>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</si>
  <si>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</si>
  <si>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</si>
  <si>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</si>
  <si>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</si>
  <si>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 xml:space="preserve">Допринос солидарности на терет послодавца </t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</si>
  <si>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ЈУ Народна библиотека Прњавор
Број: 08180068</t>
    </r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</si>
  <si>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</si>
  <si>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</si>
  <si>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</si>
  <si>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</si>
  <si>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тражење несталих бораца и цивила жртава рата са подручја општине Прњавор</t>
  </si>
  <si>
    <r>
      <t xml:space="preserve">Расходи за стручне услуге (извршење рјешења,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мониторинг загађујућих материја у животној средини)</t>
    </r>
  </si>
  <si>
    <t xml:space="preserve">Средства за имплементацију и суфинансирање пројеката предвиђених Стратегијом развоја општине Прњавор 2012-2020. година 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</si>
  <si>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</si>
  <si>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</si>
  <si>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</si>
  <si>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</si>
  <si>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r>
      <t xml:space="preserve">Борачка организација општине Прњавор - </t>
    </r>
    <r>
      <rPr>
        <b/>
        <sz val="9"/>
        <rFont val="Arial"/>
        <family val="2"/>
      </rPr>
      <t>буџетска резерва</t>
    </r>
  </si>
  <si>
    <r>
      <t xml:space="preserve">Расходи за стручне услуге Центра за културу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</si>
  <si>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</si>
  <si>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</si>
  <si>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</si>
  <si>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</si>
  <si>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</si>
  <si>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</si>
  <si>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</si>
  <si>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</si>
  <si>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</si>
  <si>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Средства за обављање послова из области цивилне заштите</t>
  </si>
  <si>
    <t>Помоћ у реализацији пројеката заједница етажних власника</t>
  </si>
  <si>
    <t>0422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</si>
  <si>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</si>
  <si>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</si>
  <si>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Уређење нове локације за бувљу пијацу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</si>
  <si>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</si>
  <si>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</si>
  <si>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</si>
  <si>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</si>
  <si>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</si>
  <si>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</si>
  <si>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Текући грантови из земље</t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</si>
  <si>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Гимназија Прњавор
Број: 08150026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</si>
  <si>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</si>
  <si>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за културу Прњавор
Број: 08180011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</si>
  <si>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Дјечији вртић " Наша радост" Прњавор
Број: 00750400</t>
    </r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</si>
  <si>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</si>
  <si>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</si>
  <si>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r>
      <t xml:space="preserve">Финансирање Црвеног крста - </t>
    </r>
    <r>
      <rPr>
        <b/>
        <sz val="9"/>
        <rFont val="Arial"/>
        <family val="2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</si>
  <si>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</si>
  <si>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поводом манифестација за празничне дане општине - </t>
    </r>
    <r>
      <rPr>
        <b/>
        <sz val="9"/>
        <rFont val="Arial"/>
        <family val="2"/>
      </rPr>
      <t>буџетска резерва</t>
    </r>
  </si>
  <si>
    <t>Трошкови сервисирања зајмова примљених у земљи</t>
  </si>
  <si>
    <t>Капиталне инвестиције из домаћих прихода</t>
  </si>
  <si>
    <t>Капиталне инвестиције из кредитних средстава</t>
  </si>
  <si>
    <t>Ергела Вучијак Прњавор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</si>
  <si>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</si>
  <si>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</si>
  <si>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</si>
  <si>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Камата на кредит од 300.000,00 КМ</t>
  </si>
  <si>
    <t>Отплата дуга по кредиту од 300.000,00 КМ</t>
  </si>
  <si>
    <t>Предузимање превентивних активности заштите и спасавања/цивилне заштите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</si>
  <si>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</si>
  <si>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</si>
  <si>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</si>
  <si>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Текуће одржавање путева на руралним подручјима општине са којих потичу дрвни сортименти</t>
  </si>
  <si>
    <r>
      <t>Средства за имплементацију и суфинансирање пројеката предвиђених Стратегијом развоја општине Прњавор 2012-2020. година -</t>
    </r>
    <r>
      <rPr>
        <b/>
        <sz val="9"/>
        <rFont val="Arial"/>
        <family val="2"/>
      </rPr>
      <t xml:space="preserve"> буџетска резерва</t>
    </r>
  </si>
  <si>
    <r>
      <t xml:space="preserve">Трошкови репрезентације- </t>
    </r>
    <r>
      <rPr>
        <b/>
        <sz val="9"/>
        <rFont val="Arial"/>
        <family val="2"/>
      </rPr>
      <t>буџетска резерва</t>
    </r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</si>
  <si>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</si>
  <si>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</si>
  <si>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</si>
  <si>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</si>
  <si>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</si>
  <si>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</si>
  <si>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</si>
  <si>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</si>
  <si>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</si>
  <si>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</si>
  <si>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</si>
  <si>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</si>
  <si>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</si>
  <si>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</si>
  <si>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</si>
  <si>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</si>
  <si>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И) РАСПОДЈЕЛА СУФИЦИТА ИЗ РАНИЈИХ ПЕРИОДА</t>
  </si>
  <si>
    <t>Трансфери између  различитих јединица 
власти</t>
  </si>
  <si>
    <t>Расходи за бруто плате запослених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</si>
  <si>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</si>
  <si>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</si>
  <si>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</si>
  <si>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</si>
  <si>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 xml:space="preserve"> Изградња и реконструкција инфраструктуре и других објеката на руралним подручјима општине са којих потичу дрвни сортименти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</si>
  <si>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</si>
  <si>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</si>
  <si>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</si>
  <si>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</si>
  <si>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</si>
  <si>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</si>
  <si>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</si>
  <si>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</si>
  <si>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</si>
  <si>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</si>
  <si>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</si>
  <si>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</si>
  <si>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</si>
  <si>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</si>
  <si>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Расходи по основу путовања и смјештаја Општинске управе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</si>
  <si>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</si>
  <si>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</si>
  <si>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</si>
  <si>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</si>
  <si>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Помоћ од Министарства просвјете и културе РС Дјечијем вртићу "Наша радост" за програм припреме дјеце за полазак у школу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</si>
  <si>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</si>
  <si>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</si>
  <si>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</si>
  <si>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</si>
  <si>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</si>
  <si>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</si>
  <si>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</si>
  <si>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Остали непоменути расходи - припрема дјеце за полазак у школу из дозначене помоћи Министарства просвјете и културе РС</t>
  </si>
  <si>
    <r>
      <t xml:space="preserve">Плакете, повеље, награде и признања Начелника општине - </t>
    </r>
    <r>
      <rPr>
        <b/>
        <sz val="9"/>
        <rFont val="Arial"/>
        <family val="2"/>
      </rPr>
      <t>буџетска резерва</t>
    </r>
  </si>
  <si>
    <r>
      <t xml:space="preserve">Покровитељство општине за реализацију научних, културних и спортских манифестација од значаја за општину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</si>
  <si>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</si>
  <si>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r>
      <t xml:space="preserve">Набавка опреме - </t>
    </r>
    <r>
      <rPr>
        <b/>
        <sz val="9"/>
        <rFont val="Arial"/>
        <family val="2"/>
      </rPr>
      <t>буџетска резерва</t>
    </r>
  </si>
  <si>
    <t>Расходи по основу судских рјешења</t>
  </si>
  <si>
    <t>Трансфери јединицама локалне самоуправе</t>
  </si>
  <si>
    <t>Отплата дуга по кредиту од 5.000.000,00 КМ</t>
  </si>
  <si>
    <t>Отплата дуга по кредиту од 4.000.000,00 КМ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</si>
  <si>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</si>
  <si>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</si>
  <si>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</si>
  <si>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</si>
  <si>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r>
      <t xml:space="preserve">Назив и број потрошачке јединице:
</t>
    </r>
    <r>
      <rPr>
        <b/>
        <sz val="9"/>
        <rFont val="Arial"/>
        <family val="2"/>
      </rPr>
      <t>ЈУ Музичка школа "Константин Бабић " Прњавор
Број: 08400005</t>
    </r>
  </si>
  <si>
    <t>411000</t>
  </si>
  <si>
    <t>412000</t>
  </si>
  <si>
    <t>Укупни расходи за потрошачку
 јединицу бр.  08400005</t>
  </si>
  <si>
    <r>
      <t xml:space="preserve">Удружење пензионера - </t>
    </r>
    <r>
      <rPr>
        <b/>
        <sz val="9"/>
        <rFont val="Arial"/>
        <family val="2"/>
      </rPr>
      <t>буџетска резерва</t>
    </r>
  </si>
  <si>
    <r>
      <t>Удружење ратних војних заробљеника "Вијенац" Возућа, и остали -</t>
    </r>
    <r>
      <rPr>
        <b/>
        <sz val="9"/>
        <rFont val="Arial"/>
        <family val="2"/>
      </rPr>
      <t xml:space="preserve"> буџетска резерва</t>
    </r>
  </si>
  <si>
    <t>ЈУ Музичка школа "Константин Бабић" Прњавор</t>
  </si>
  <si>
    <t>Грант ЈУ Центар средњих школа "Иво Андрић" за пројекат "Предузећа за вјежбу"</t>
  </si>
  <si>
    <t>Грант Федералног министарства расељених особа и избјеглица Општинској управи за реализацију "Програма помоћи у обављању приправничког стажа"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</si>
  <si>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</si>
  <si>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</si>
  <si>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</si>
  <si>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</si>
  <si>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</si>
  <si>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Остали примици (наплата јавних прихода из претходне или ранијих година по  записницима Пореске управе)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</si>
  <si>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</si>
  <si>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</si>
  <si>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</si>
  <si>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</si>
  <si>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Трошкови непотпуне експропријације,  процјене, вјештачења, накнаде штета и слично</t>
  </si>
  <si>
    <t>Трошкови обраде кредитне документације за примљене зајмове (7.000.000,00 КМ)</t>
  </si>
  <si>
    <t>Трошкови интеркаларне камате на примљени зајам (7.000.000,00 КМ)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</si>
  <si>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</si>
  <si>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</si>
  <si>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</si>
  <si>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</si>
  <si>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</si>
  <si>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Буџет
за 2018. годину</t>
  </si>
  <si>
    <t>Буџет за 
2018. годину</t>
  </si>
  <si>
    <t>Буџет за
2018. годину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</si>
  <si>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</si>
  <si>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</si>
  <si>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Приходи општинских органа управе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</si>
  <si>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</si>
  <si>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</si>
  <si>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</si>
  <si>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</si>
  <si>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Грант Фонда за заштиту животне средине и енергетску ефикасност РС за Колектор отпадних и оборинских вода општине Прњавор</t>
  </si>
  <si>
    <t>Примици по основу пореза на додату вриједност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</si>
  <si>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</si>
  <si>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Набавка опреме из донаторских средстава за пројекат "Предузећа за вјежбу"</t>
  </si>
  <si>
    <t>Грант Савјета родитеља ЈУ Дјечији вртић "Наша радост" за пројекат Укијева радионица (набавка дидактичког материјала)</t>
  </si>
  <si>
    <t>Грант Савјета родитеља ЈУ Дјечији вртић "Наша радост" за набавку посуђа за кухињу вртића</t>
  </si>
  <si>
    <r>
      <t xml:space="preserve">Средства за одржавање Фестивала националних мањина "Мала Европа" Прњавор - </t>
    </r>
    <r>
      <rPr>
        <b/>
        <sz val="9"/>
        <rFont val="Arial"/>
        <family val="2"/>
      </rPr>
      <t>буџетска резерва</t>
    </r>
  </si>
  <si>
    <t>Набавка дидактичког материјала по пројекту  "Укијева радионица" - из гранта Савјета родитеља</t>
  </si>
  <si>
    <t>Набавка посуђа - из средстава Савјета родитеља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</si>
  <si>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</si>
  <si>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</si>
  <si>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</si>
  <si>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</si>
  <si>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</si>
  <si>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</si>
  <si>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</si>
  <si>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Изградња Музичке школе</t>
  </si>
  <si>
    <t>Грант КП,,Водовод" АД - набавка опреме</t>
  </si>
  <si>
    <r>
      <t xml:space="preserve">Назив и број потрошачке јединице:
</t>
    </r>
    <r>
      <rPr>
        <b/>
        <sz val="9"/>
        <rFont val="Arial"/>
        <family val="2"/>
      </rPr>
      <t>Одсјек за заједничке послове
Број: 00750240</t>
    </r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</si>
  <si>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</si>
  <si>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</si>
  <si>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борачко-инвалидску и цивилну заштиту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00750180</t>
    </r>
  </si>
  <si>
    <t>Неутрошене примљене донације из ранијег периода од Ватрогасног савеза Републике Српске за унапређење заштите од пожара</t>
  </si>
  <si>
    <r>
      <t xml:space="preserve">Финансирање Кола српских сестара Прњавор - </t>
    </r>
    <r>
      <rPr>
        <b/>
        <sz val="9"/>
        <rFont val="Arial"/>
        <family val="2"/>
      </rPr>
      <t>буџетска резерва</t>
    </r>
  </si>
  <si>
    <t>Трансфер Фонду солидарности за дијагностику и лијечење обољења, стања и повреда дјеце у иностранству</t>
  </si>
  <si>
    <r>
      <t xml:space="preserve">Расходи за стручно усавршавање запослених Општинске управе - </t>
    </r>
    <r>
      <rPr>
        <b/>
        <sz val="9"/>
        <rFont val="Arial"/>
        <family val="2"/>
      </rPr>
      <t>буџетска резерва</t>
    </r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</si>
  <si>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</si>
  <si>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</si>
  <si>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</si>
  <si>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</si>
  <si>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</si>
  <si>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</si>
  <si>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</si>
  <si>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</si>
  <si>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Подстицаји за запошљавање у привреди - МЕГ пројекат</t>
  </si>
  <si>
    <t>0412</t>
  </si>
  <si>
    <t>Изградња објеката канализационе мреже - МЕГ пројекат</t>
  </si>
  <si>
    <t>0520</t>
  </si>
  <si>
    <t>Средства за студентске награде - посебни резултати током школовања</t>
  </si>
  <si>
    <t>Изградња централног споменика и спомен-обиљежја</t>
  </si>
  <si>
    <t>170-03 План капиталних улагања</t>
  </si>
  <si>
    <t>Изградња и реконструкција градских улица, локалних путева, јавне расвјете, водоводне мреже, школских и других објеката</t>
  </si>
  <si>
    <t xml:space="preserve">Примици од задуживања </t>
  </si>
  <si>
    <t>Расподјела суфицита</t>
  </si>
  <si>
    <t>УКУПНИ ПРИМИЦИ:</t>
  </si>
  <si>
    <t>Примици од залиха материјала, учинaка, робе и ситног инвентара,
 амбалаже и сл.</t>
  </si>
  <si>
    <t>УКУПНИ ИЗДАЦИ:</t>
  </si>
  <si>
    <r>
      <t xml:space="preserve">Остали непоменути расходи - </t>
    </r>
    <r>
      <rPr>
        <b/>
        <sz val="9"/>
        <rFont val="Arial"/>
        <family val="2"/>
      </rPr>
      <t>буџетска резерва</t>
    </r>
  </si>
  <si>
    <t>Укупни расходи за потрошачку
 јединицу бр.  00750241</t>
  </si>
  <si>
    <t>Назив и број потрошачке јединице:
Одсјек за јавне  набавке, правна питања и прописе
Број: 00750241</t>
  </si>
  <si>
    <t>Примици за нефинансијску имовину</t>
  </si>
  <si>
    <t>УКУПНИ РАСХОДИ</t>
  </si>
  <si>
    <t>РЕБАЛАНС БУЏЕТА 
ОПШТИНЕ ПРЊАВОР 
ЗА 2018. ГОДИНУ
- табеларни дио -</t>
  </si>
  <si>
    <t>Износ за ребаланс</t>
  </si>
  <si>
    <t>Ребаланс буџета за 2018. годину</t>
  </si>
  <si>
    <t>ТАБЕЛА 1. РЕБАЛАНС БУЏЕТА ОПШТИНЕ ПРЊАВОР ЗА 2018. ГОДИНУ 
- ОПШТИ ДИО</t>
  </si>
  <si>
    <t>ТАБЕЛА 2.   РЕБАЛАНС БУЏЕТА ОПШТИНЕ ПРЊАВОР ЗА 2018. ГОДИНУ
-БУЏЕТСКИ ПРИХОДИ И ПРИМИЦИ ЗА НЕФИНАНСИЈСКУ ИМОВИНУ</t>
  </si>
  <si>
    <t>6(5/3*100)</t>
  </si>
  <si>
    <t>7(6/4*100)</t>
  </si>
  <si>
    <t xml:space="preserve">  ТАБЕЛА 3.  РЕБАЛАНС БУЏЕТА ОПШТИНЕ ПРЊАВОР ЗА 2018. ГОДИНУ
-БУЏЕТСКИ РАСХОДИ И ИЗДАЦИ ЗА НЕФИНАНСИЈСКУ ИМОВИНУ        </t>
  </si>
  <si>
    <t>4(5-3)</t>
  </si>
  <si>
    <t>5(6-4)</t>
  </si>
  <si>
    <t>ТАБЕЛА 4.  РЕБАЛАНС БУЏЕТА ОПШТИНЕ ПРЊАВОР ЗА 2018. ГОДИНУ
- ФИНАНСИРАЊЕ</t>
  </si>
  <si>
    <t xml:space="preserve"> ТАБЕЛА 5.  РЕБАЛАНС БУЏЕТА ОПШТИНЕ ПРЊАВОР ЗА 2018. ГОДИНУ
 - ОРГАНИЗАЦИОНА КЛАСИФИКАЦИЈА                                                                                                                                                                                    </t>
  </si>
  <si>
    <t>6(7-5)</t>
  </si>
  <si>
    <t>8(7/5*100)</t>
  </si>
  <si>
    <t xml:space="preserve">  ТАБЕЛА 6.  РЕБАЛАНС БУЏЕТА ОПШТИНЕ ПРЊАВОР ЗА 2018. ГОДИНУ
- ФУНКЦИОНАЛНА КЛАСИФИКАЦИЈА </t>
  </si>
  <si>
    <t>5</t>
  </si>
  <si>
    <r>
      <t xml:space="preserve">Средства за студентске награде - посебни резултати током школовања - </t>
    </r>
    <r>
      <rPr>
        <b/>
        <sz val="9"/>
        <rFont val="Arial"/>
        <family val="2"/>
      </rPr>
      <t>буџетска резерва</t>
    </r>
  </si>
  <si>
    <r>
      <t xml:space="preserve">Удружење СУБНОР-а - </t>
    </r>
    <r>
      <rPr>
        <b/>
        <sz val="9"/>
        <rFont val="Arial"/>
        <family val="2"/>
      </rPr>
      <t>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</si>
  <si>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9"/>
        <rFont val="Arial"/>
        <family val="2"/>
      </rPr>
      <t>буџетска резерва</t>
    </r>
  </si>
  <si>
    <r>
      <t xml:space="preserve">Једнократне новчане помоћи појединцима из борачке популације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</si>
  <si>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</si>
  <si>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r>
      <t xml:space="preserve">Расходи за материјал за посебне намјене - </t>
    </r>
    <r>
      <rPr>
        <b/>
        <sz val="9"/>
        <rFont val="Arial"/>
        <family val="2"/>
      </rPr>
      <t>буџетска резерва</t>
    </r>
  </si>
  <si>
    <t>Капитални грантови у земљи</t>
  </si>
  <si>
    <t>Неутрошена намјенска средства из 2017. године - трансфер Министарства просвјете и културе РС на име суфинансирања санације Основне школе "Милош Црњански" Поточани</t>
  </si>
  <si>
    <t>Неутрошена намјенска средства из 2017. године - трансфер Министарства за избјеглице и расељена лица РС на име суфинансирања пројекта "Довршење градње друштвеног дома у МЗ Бабановци и адаптација друштвеног дома у МЗ Горња Мравица"</t>
  </si>
  <si>
    <t>Неутрошена намјенска средства из 2017. године - трансфер Министарства рада и борачко-инвалидске заштите РС за изградњу споменика у МЗ Кремна</t>
  </si>
  <si>
    <r>
      <t xml:space="preserve">Изградња споменика погинулим борцима у МЗ Кремна из средстава Министарства рада и борачко-инвалидске заштите РС
</t>
    </r>
    <r>
      <rPr>
        <b/>
        <sz val="9"/>
        <rFont val="Arial"/>
        <family val="2"/>
      </rPr>
      <t>(из пренесених ср. из пр. го.)</t>
    </r>
  </si>
  <si>
    <t>Накнаде за личну инвалиднину из средстава Министарства здравља и социјалне заштите</t>
  </si>
  <si>
    <t>Организациона кл.</t>
  </si>
  <si>
    <t>Организациона класиф.</t>
  </si>
  <si>
    <t>ukupni izdaci</t>
  </si>
  <si>
    <t>razlika</t>
  </si>
  <si>
    <t>приходи и примици</t>
  </si>
  <si>
    <t>расходи и издаци</t>
  </si>
  <si>
    <t>РАСХОДИ ОРГ.КЛА</t>
  </si>
  <si>
    <t>********</t>
  </si>
  <si>
    <t>Неутрошена намјенска средства из 2017. године - грант Општине Центар Сарајево на име помоћи за одржив повратак (за ЛП у Коњуховцима)</t>
  </si>
  <si>
    <t>ЗАХТЈЕВ
КОРИСНИКА
ЗА РЕБАЛАНС</t>
  </si>
  <si>
    <t>Примици</t>
  </si>
  <si>
    <t>Издаци</t>
  </si>
  <si>
    <t>Разлика</t>
  </si>
  <si>
    <t>Грантови из иностранства</t>
  </si>
  <si>
    <t>Грант УНДП/МЕГ за реконструкцију водоводне и канализационе мреже у улици Вида Њежића</t>
  </si>
  <si>
    <t>RAZLIKA
(REB.- OP.B)</t>
  </si>
  <si>
    <t>Трансфер Владе Републике Српске из средстава клириншког дуга за изградњу локалне путне инфраструктуре у општини Прњавор</t>
  </si>
  <si>
    <t>Трансфер Владе Републике Српске из Програма јавних инвестиција за изградњу локалне путне инфраструктуре у општини Прњавор</t>
  </si>
  <si>
    <t>Трансфер Владе Републике Српске из донаторских средстава Владе Републике Србије за пројекат реконструкције ОШ "Меша Селимовић" у Насеобни Лишњи</t>
  </si>
  <si>
    <t>Инвестиционо одржавање стамбених објеката</t>
  </si>
  <si>
    <t>Трансфер Министарства здравља и социјалне заштите РС Центру за социјални рад за накнаде за личну инвалиднину</t>
  </si>
  <si>
    <t>ОПЕРАТИВНИ БУЏЕТ У СИСТЕМУ на дан 18.10.2018</t>
  </si>
  <si>
    <r>
      <t xml:space="preserve">Реконструкција ОШ "Мешо Селимовић" Насеобина Лишња из трансфера Владе РС - </t>
    </r>
    <r>
      <rPr>
        <b/>
        <sz val="9"/>
        <rFont val="Arial"/>
        <family val="2"/>
      </rPr>
      <t>донација Владе Републике Србије</t>
    </r>
  </si>
  <si>
    <r>
      <t xml:space="preserve">Изградња локалне путне инфраструктуре из трансфера Владе РС - </t>
    </r>
    <r>
      <rPr>
        <b/>
        <sz val="9"/>
        <rFont val="Arial"/>
        <family val="2"/>
      </rPr>
      <t>из средстава Програма јавних инвестиција РС</t>
    </r>
  </si>
  <si>
    <r>
      <t xml:space="preserve">Изградња локалне путне инфраструктуре из трансфера Владе РС - </t>
    </r>
    <r>
      <rPr>
        <b/>
        <sz val="9"/>
        <rFont val="Arial"/>
        <family val="2"/>
      </rPr>
      <t>из средстава клириншког дуга</t>
    </r>
  </si>
  <si>
    <r>
      <t>Довршење градње друштвеног дома у МЗ Бабановци и адаптација друштвеног дома у МЗ Горња Мравица из средстава Министарства за избјеглице и расељена лица РС</t>
    </r>
    <r>
      <rPr>
        <b/>
        <sz val="9"/>
        <rFont val="Arial"/>
        <family val="2"/>
      </rPr>
      <t xml:space="preserve"> (неутрошена ср. из пр.го.)</t>
    </r>
  </si>
  <si>
    <r>
      <t xml:space="preserve">Санација ОШ "Милош Црњански" Поточани из средстава Министарства просвјете и културе РС </t>
    </r>
    <r>
      <rPr>
        <b/>
        <sz val="9"/>
        <rFont val="Arial"/>
        <family val="2"/>
      </rPr>
      <t>(неутрошена ср. из пр.го.)</t>
    </r>
  </si>
  <si>
    <t>Грант Савјета Европе за пројекат "Промоција едукативних садржаја о националним мањинама у основношколском образовању"</t>
  </si>
  <si>
    <t>`</t>
  </si>
  <si>
    <t xml:space="preserve">      Прњавор, октобар 2018. гoдине</t>
  </si>
  <si>
    <t>Г) РАСПОДЈЕЛА СУФИЦИТА ИЗ РАНИЈЕГ ПЕРИОДА</t>
  </si>
  <si>
    <r>
      <t xml:space="preserve">Реконструкција водоводне и канализационе мреже у ул. Вида Њежића </t>
    </r>
    <r>
      <rPr>
        <b/>
        <sz val="9"/>
        <rFont val="Arial"/>
        <family val="2"/>
      </rPr>
      <t>из средстава МЕГ/УНДП</t>
    </r>
  </si>
  <si>
    <r>
      <t>Реализација пројекта "Промоција едукативних садржаја о националним мањинама у основношколском образовању" -</t>
    </r>
    <r>
      <rPr>
        <b/>
        <sz val="9"/>
        <rFont val="Arial"/>
        <family val="2"/>
      </rPr>
      <t xml:space="preserve"> из средстава гранта Савјета Европе</t>
    </r>
  </si>
  <si>
    <t>Трошкови електричне енергије за јавну расвјету (у граду и мјесним заједницама)</t>
  </si>
  <si>
    <t>Трошкови одржавања јавне расвјете (у граду и мјесним заједницама)</t>
  </si>
  <si>
    <r>
      <t>Изградња и реконструкција ЛП у Коњуховцима из гранта Општине Центар Сарајево (</t>
    </r>
    <r>
      <rPr>
        <b/>
        <sz val="9"/>
        <rFont val="Arial"/>
        <family val="2"/>
      </rPr>
      <t>неутрошена средства из пр. го</t>
    </r>
    <r>
      <rPr>
        <b/>
        <i/>
        <sz val="9"/>
        <rFont val="Arial"/>
        <family val="2"/>
      </rPr>
      <t>.</t>
    </r>
    <r>
      <rPr>
        <sz val="9"/>
        <rFont val="Arial"/>
        <family val="2"/>
      </rPr>
      <t>)</t>
    </r>
  </si>
  <si>
    <t>Н а ц р т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</si>
</sst>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0000000"/>
    <numFmt numFmtId="194" formatCode="0.0"/>
    <numFmt numFmtId="195" formatCode="#,##0.00;[Red]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Times"/>
      <family val="1"/>
    </font>
    <font>
      <b/>
      <sz val="11"/>
      <name val="Symbol"/>
      <family val="1"/>
    </font>
    <font>
      <b/>
      <sz val="9"/>
      <name val="Symbol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 wrapText="1"/>
    </xf>
    <xf numFmtId="4" fontId="12" fillId="34" borderId="13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6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4" fontId="6" fillId="13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13" borderId="10" xfId="0" applyFont="1" applyFill="1" applyBorder="1" applyAlignment="1">
      <alignment vertical="center"/>
    </xf>
    <xf numFmtId="2" fontId="2" fillId="13" borderId="16" xfId="0" applyNumberFormat="1" applyFont="1" applyFill="1" applyBorder="1" applyAlignment="1">
      <alignment horizontal="right" vertical="center"/>
    </xf>
    <xf numFmtId="4" fontId="2" fillId="13" borderId="10" xfId="0" applyNumberFormat="1" applyFont="1" applyFill="1" applyBorder="1" applyAlignment="1">
      <alignment horizontal="right" vertical="center"/>
    </xf>
    <xf numFmtId="2" fontId="2" fillId="13" borderId="21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6" fillId="33" borderId="22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2" fillId="13" borderId="13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right" vertical="center"/>
    </xf>
    <xf numFmtId="4" fontId="8" fillId="33" borderId="24" xfId="0" applyNumberFormat="1" applyFont="1" applyFill="1" applyBorder="1" applyAlignment="1">
      <alignment horizontal="right" vertical="center"/>
    </xf>
    <xf numFmtId="4" fontId="13" fillId="0" borderId="25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right" vertical="center"/>
    </xf>
    <xf numFmtId="0" fontId="4" fillId="39" borderId="26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75" fillId="0" borderId="0" xfId="0" applyNumberFormat="1" applyFont="1" applyBorder="1" applyAlignment="1">
      <alignment horizontal="left" wrapText="1"/>
    </xf>
    <xf numFmtId="4" fontId="6" fillId="38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33" borderId="2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36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8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" fontId="13" fillId="40" borderId="24" xfId="0" applyNumberFormat="1" applyFont="1" applyFill="1" applyBorder="1" applyAlignment="1">
      <alignment horizontal="right" vertical="center"/>
    </xf>
    <xf numFmtId="4" fontId="75" fillId="0" borderId="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4" fontId="23" fillId="13" borderId="13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6" fillId="13" borderId="16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4" fontId="2" fillId="34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23" fillId="13" borderId="13" xfId="0" applyFont="1" applyFill="1" applyBorder="1" applyAlignment="1">
      <alignment vertical="center" wrapText="1"/>
    </xf>
    <xf numFmtId="4" fontId="8" fillId="35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6" fillId="39" borderId="24" xfId="0" applyNumberFormat="1" applyFont="1" applyFill="1" applyBorder="1" applyAlignment="1">
      <alignment horizontal="right" vertical="center"/>
    </xf>
    <xf numFmtId="4" fontId="6" fillId="38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4" fontId="2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34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 wrapText="1"/>
    </xf>
    <xf numFmtId="4" fontId="2" fillId="39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vertical="center"/>
    </xf>
    <xf numFmtId="4" fontId="6" fillId="13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 wrapText="1"/>
    </xf>
    <xf numFmtId="4" fontId="13" fillId="36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23" fillId="39" borderId="13" xfId="0" applyFont="1" applyFill="1" applyBorder="1" applyAlignment="1">
      <alignment horizontal="left" vertical="center" wrapText="1"/>
    </xf>
    <xf numFmtId="4" fontId="23" fillId="39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" fontId="2" fillId="38" borderId="16" xfId="0" applyNumberFormat="1" applyFont="1" applyFill="1" applyBorder="1" applyAlignment="1">
      <alignment horizontal="right" vertical="center"/>
    </xf>
    <xf numFmtId="4" fontId="2" fillId="30" borderId="16" xfId="0" applyNumberFormat="1" applyFont="1" applyFill="1" applyBorder="1" applyAlignment="1">
      <alignment horizontal="right" vertical="center"/>
    </xf>
    <xf numFmtId="4" fontId="0" fillId="40" borderId="24" xfId="0" applyNumberFormat="1" applyFont="1" applyFill="1" applyBorder="1" applyAlignment="1">
      <alignment horizontal="right" vertical="center"/>
    </xf>
    <xf numFmtId="4" fontId="0" fillId="40" borderId="16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center" vertical="center"/>
    </xf>
    <xf numFmtId="4" fontId="6" fillId="40" borderId="10" xfId="0" applyNumberFormat="1" applyFont="1" applyFill="1" applyBorder="1" applyAlignment="1">
      <alignment horizontal="right" vertical="center"/>
    </xf>
    <xf numFmtId="4" fontId="6" fillId="40" borderId="16" xfId="0" applyNumberFormat="1" applyFont="1" applyFill="1" applyBorder="1" applyAlignment="1">
      <alignment horizontal="right" vertical="center"/>
    </xf>
    <xf numFmtId="4" fontId="8" fillId="40" borderId="16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" fontId="2" fillId="13" borderId="13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2" fontId="0" fillId="40" borderId="16" xfId="0" applyNumberFormat="1" applyFont="1" applyFill="1" applyBorder="1" applyAlignment="1">
      <alignment horizontal="right" vertical="center"/>
    </xf>
    <xf numFmtId="4" fontId="8" fillId="35" borderId="16" xfId="0" applyNumberFormat="1" applyFont="1" applyFill="1" applyBorder="1" applyAlignment="1">
      <alignment horizontal="right" vertical="center"/>
    </xf>
    <xf numFmtId="2" fontId="8" fillId="35" borderId="16" xfId="0" applyNumberFormat="1" applyFont="1" applyFill="1" applyBorder="1" applyAlignment="1">
      <alignment horizontal="right" vertical="center"/>
    </xf>
    <xf numFmtId="4" fontId="16" fillId="33" borderId="28" xfId="0" applyNumberFormat="1" applyFont="1" applyFill="1" applyBorder="1" applyAlignment="1">
      <alignment horizontal="right" vertical="center"/>
    </xf>
    <xf numFmtId="4" fontId="13" fillId="40" borderId="10" xfId="0" applyNumberFormat="1" applyFont="1" applyFill="1" applyBorder="1" applyAlignment="1">
      <alignment horizontal="right" vertical="center"/>
    </xf>
    <xf numFmtId="2" fontId="8" fillId="40" borderId="16" xfId="0" applyNumberFormat="1" applyFont="1" applyFill="1" applyBorder="1" applyAlignment="1">
      <alignment horizontal="right" vertical="center"/>
    </xf>
    <xf numFmtId="2" fontId="8" fillId="38" borderId="16" xfId="0" applyNumberFormat="1" applyFont="1" applyFill="1" applyBorder="1" applyAlignment="1">
      <alignment horizontal="right" vertical="center"/>
    </xf>
    <xf numFmtId="4" fontId="13" fillId="38" borderId="24" xfId="0" applyNumberFormat="1" applyFont="1" applyFill="1" applyBorder="1" applyAlignment="1">
      <alignment horizontal="right" vertical="center"/>
    </xf>
    <xf numFmtId="2" fontId="8" fillId="38" borderId="24" xfId="0" applyNumberFormat="1" applyFont="1" applyFill="1" applyBorder="1" applyAlignment="1">
      <alignment horizontal="right" vertical="center"/>
    </xf>
    <xf numFmtId="4" fontId="8" fillId="38" borderId="16" xfId="0" applyNumberFormat="1" applyFont="1" applyFill="1" applyBorder="1" applyAlignment="1">
      <alignment horizontal="right" vertical="center"/>
    </xf>
    <xf numFmtId="4" fontId="14" fillId="39" borderId="24" xfId="0" applyNumberFormat="1" applyFont="1" applyFill="1" applyBorder="1" applyAlignment="1">
      <alignment horizontal="right" vertical="center"/>
    </xf>
    <xf numFmtId="4" fontId="6" fillId="39" borderId="16" xfId="0" applyNumberFormat="1" applyFont="1" applyFill="1" applyBorder="1" applyAlignment="1">
      <alignment horizontal="right" vertical="center"/>
    </xf>
    <xf numFmtId="2" fontId="6" fillId="39" borderId="16" xfId="0" applyNumberFormat="1" applyFont="1" applyFill="1" applyBorder="1" applyAlignment="1">
      <alignment horizontal="right" vertical="center"/>
    </xf>
    <xf numFmtId="4" fontId="14" fillId="39" borderId="29" xfId="0" applyNumberFormat="1" applyFont="1" applyFill="1" applyBorder="1" applyAlignment="1">
      <alignment horizontal="right" vertical="center"/>
    </xf>
    <xf numFmtId="2" fontId="6" fillId="39" borderId="21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horizontal="right" vertical="center"/>
    </xf>
    <xf numFmtId="4" fontId="13" fillId="41" borderId="24" xfId="0" applyNumberFormat="1" applyFont="1" applyFill="1" applyBorder="1" applyAlignment="1">
      <alignment horizontal="right" vertical="center"/>
    </xf>
    <xf numFmtId="2" fontId="8" fillId="41" borderId="16" xfId="0" applyNumberFormat="1" applyFont="1" applyFill="1" applyBorder="1" applyAlignment="1">
      <alignment horizontal="right" vertical="center"/>
    </xf>
    <xf numFmtId="4" fontId="13" fillId="41" borderId="10" xfId="0" applyNumberFormat="1" applyFont="1" applyFill="1" applyBorder="1" applyAlignment="1">
      <alignment horizontal="right" vertical="center"/>
    </xf>
    <xf numFmtId="0" fontId="0" fillId="40" borderId="11" xfId="0" applyFont="1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/>
    </xf>
    <xf numFmtId="49" fontId="8" fillId="40" borderId="27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14" fillId="34" borderId="30" xfId="0" applyNumberFormat="1" applyFont="1" applyFill="1" applyBorder="1" applyAlignment="1">
      <alignment horizontal="right" vertical="center"/>
    </xf>
    <xf numFmtId="4" fontId="14" fillId="39" borderId="31" xfId="0" applyNumberFormat="1" applyFont="1" applyFill="1" applyBorder="1" applyAlignment="1">
      <alignment horizontal="right" vertical="center"/>
    </xf>
    <xf numFmtId="2" fontId="6" fillId="39" borderId="32" xfId="0" applyNumberFormat="1" applyFont="1" applyFill="1" applyBorder="1" applyAlignment="1">
      <alignment horizontal="right" vertical="center"/>
    </xf>
    <xf numFmtId="49" fontId="8" fillId="40" borderId="10" xfId="0" applyNumberFormat="1" applyFont="1" applyFill="1" applyBorder="1" applyAlignment="1">
      <alignment horizontal="center" vertical="center"/>
    </xf>
    <xf numFmtId="49" fontId="8" fillId="40" borderId="3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13" fillId="35" borderId="33" xfId="0" applyNumberFormat="1" applyFont="1" applyFill="1" applyBorder="1" applyAlignment="1">
      <alignment horizontal="right" vertical="center"/>
    </xf>
    <xf numFmtId="4" fontId="8" fillId="35" borderId="34" xfId="0" applyNumberFormat="1" applyFont="1" applyFill="1" applyBorder="1" applyAlignment="1">
      <alignment horizontal="right" vertical="center"/>
    </xf>
    <xf numFmtId="4" fontId="13" fillId="35" borderId="35" xfId="0" applyNumberFormat="1" applyFont="1" applyFill="1" applyBorder="1" applyAlignment="1">
      <alignment horizontal="right" vertical="center"/>
    </xf>
    <xf numFmtId="2" fontId="8" fillId="35" borderId="34" xfId="0" applyNumberFormat="1" applyFont="1" applyFill="1" applyBorder="1" applyAlignment="1">
      <alignment horizontal="right" vertical="center"/>
    </xf>
    <xf numFmtId="4" fontId="14" fillId="39" borderId="30" xfId="0" applyNumberFormat="1" applyFont="1" applyFill="1" applyBorder="1" applyAlignment="1">
      <alignment horizontal="right" vertical="center"/>
    </xf>
    <xf numFmtId="4" fontId="13" fillId="0" borderId="35" xfId="0" applyNumberFormat="1" applyFont="1" applyFill="1" applyBorder="1" applyAlignment="1">
      <alignment horizontal="right" vertical="center"/>
    </xf>
    <xf numFmtId="4" fontId="13" fillId="0" borderId="36" xfId="0" applyNumberFormat="1" applyFont="1" applyFill="1" applyBorder="1" applyAlignment="1">
      <alignment horizontal="right" vertical="center"/>
    </xf>
    <xf numFmtId="2" fontId="8" fillId="33" borderId="34" xfId="0" applyNumberFormat="1" applyFont="1" applyFill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4" fontId="13" fillId="42" borderId="10" xfId="0" applyNumberFormat="1" applyFont="1" applyFill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horizontal="right" vertical="center"/>
    </xf>
    <xf numFmtId="4" fontId="13" fillId="0" borderId="39" xfId="0" applyNumberFormat="1" applyFont="1" applyBorder="1" applyAlignment="1">
      <alignment horizontal="right" vertical="center"/>
    </xf>
    <xf numFmtId="4" fontId="13" fillId="42" borderId="16" xfId="0" applyNumberFormat="1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" fontId="14" fillId="39" borderId="16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vertical="center"/>
    </xf>
    <xf numFmtId="4" fontId="14" fillId="0" borderId="39" xfId="0" applyNumberFormat="1" applyFont="1" applyFill="1" applyBorder="1" applyAlignment="1">
      <alignment vertical="center"/>
    </xf>
    <xf numFmtId="4" fontId="75" fillId="0" borderId="0" xfId="0" applyNumberFormat="1" applyFont="1" applyAlignment="1">
      <alignment/>
    </xf>
    <xf numFmtId="195" fontId="0" fillId="0" borderId="0" xfId="0" applyNumberFormat="1" applyAlignment="1">
      <alignment/>
    </xf>
    <xf numFmtId="195" fontId="3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195" fontId="76" fillId="0" borderId="0" xfId="0" applyNumberFormat="1" applyFont="1" applyAlignment="1">
      <alignment/>
    </xf>
    <xf numFmtId="195" fontId="0" fillId="0" borderId="0" xfId="0" applyNumberFormat="1" applyAlignment="1">
      <alignment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21" fillId="0" borderId="0" xfId="0" applyNumberFormat="1" applyFont="1" applyAlignment="1">
      <alignment vertical="center"/>
    </xf>
    <xf numFmtId="195" fontId="75" fillId="0" borderId="0" xfId="0" applyNumberFormat="1" applyFont="1" applyBorder="1" applyAlignment="1">
      <alignment wrapText="1"/>
    </xf>
    <xf numFmtId="195" fontId="75" fillId="0" borderId="0" xfId="0" applyNumberFormat="1" applyFont="1" applyBorder="1" applyAlignment="1">
      <alignment horizontal="left" wrapText="1"/>
    </xf>
    <xf numFmtId="195" fontId="0" fillId="0" borderId="0" xfId="0" applyNumberFormat="1" applyFont="1" applyBorder="1" applyAlignment="1">
      <alignment vertical="center"/>
    </xf>
    <xf numFmtId="195" fontId="5" fillId="0" borderId="0" xfId="0" applyNumberFormat="1" applyFont="1" applyAlignment="1">
      <alignment horizontal="center" vertical="center"/>
    </xf>
    <xf numFmtId="195" fontId="2" fillId="0" borderId="0" xfId="0" applyNumberFormat="1" applyFont="1" applyAlignment="1">
      <alignment vertical="center"/>
    </xf>
    <xf numFmtId="195" fontId="75" fillId="0" borderId="0" xfId="0" applyNumberFormat="1" applyFont="1" applyAlignment="1">
      <alignment vertical="center"/>
    </xf>
    <xf numFmtId="195" fontId="77" fillId="0" borderId="0" xfId="0" applyNumberFormat="1" applyFont="1" applyAlignment="1">
      <alignment horizontal="center" vertical="center"/>
    </xf>
    <xf numFmtId="195" fontId="78" fillId="0" borderId="0" xfId="0" applyNumberFormat="1" applyFont="1" applyAlignment="1">
      <alignment vertical="center"/>
    </xf>
    <xf numFmtId="195" fontId="0" fillId="0" borderId="0" xfId="0" applyNumberFormat="1" applyFont="1" applyAlignment="1">
      <alignment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" fontId="6" fillId="34" borderId="16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4" fontId="2" fillId="39" borderId="16" xfId="0" applyNumberFormat="1" applyFont="1" applyFill="1" applyBorder="1" applyAlignment="1">
      <alignment horizontal="right" vertical="center"/>
    </xf>
    <xf numFmtId="4" fontId="2" fillId="36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4" fontId="2" fillId="39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38" borderId="1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left" vertical="center"/>
    </xf>
    <xf numFmtId="4" fontId="23" fillId="13" borderId="21" xfId="0" applyNumberFormat="1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right" vertical="center"/>
    </xf>
    <xf numFmtId="0" fontId="8" fillId="33" borderId="33" xfId="0" applyFont="1" applyFill="1" applyBorder="1" applyAlignment="1">
      <alignment vertical="center" wrapText="1"/>
    </xf>
    <xf numFmtId="4" fontId="13" fillId="40" borderId="35" xfId="0" applyNumberFormat="1" applyFont="1" applyFill="1" applyBorder="1" applyAlignment="1">
      <alignment horizontal="right" vertical="center"/>
    </xf>
    <xf numFmtId="4" fontId="8" fillId="40" borderId="34" xfId="0" applyNumberFormat="1" applyFont="1" applyFill="1" applyBorder="1" applyAlignment="1">
      <alignment horizontal="right" vertical="center"/>
    </xf>
    <xf numFmtId="4" fontId="8" fillId="41" borderId="16" xfId="0" applyNumberFormat="1" applyFont="1" applyFill="1" applyBorder="1" applyAlignment="1">
      <alignment horizontal="right" vertical="center"/>
    </xf>
    <xf numFmtId="4" fontId="23" fillId="39" borderId="21" xfId="0" applyNumberFormat="1" applyFont="1" applyFill="1" applyBorder="1" applyAlignment="1">
      <alignment horizontal="right" vertical="center"/>
    </xf>
    <xf numFmtId="4" fontId="23" fillId="13" borderId="13" xfId="0" applyNumberFormat="1" applyFont="1" applyFill="1" applyBorder="1" applyAlignment="1">
      <alignment horizontal="right" vertical="center"/>
    </xf>
    <xf numFmtId="4" fontId="23" fillId="13" borderId="2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2" fontId="17" fillId="0" borderId="43" xfId="0" applyNumberFormat="1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4" fontId="0" fillId="0" borderId="49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4" fontId="0" fillId="0" borderId="46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4" fontId="23" fillId="39" borderId="52" xfId="0" applyNumberFormat="1" applyFont="1" applyFill="1" applyBorder="1" applyAlignment="1">
      <alignment horizontal="right" vertical="center"/>
    </xf>
    <xf numFmtId="4" fontId="23" fillId="39" borderId="53" xfId="0" applyNumberFormat="1" applyFont="1" applyFill="1" applyBorder="1" applyAlignment="1">
      <alignment horizontal="right" vertical="center"/>
    </xf>
    <xf numFmtId="4" fontId="8" fillId="38" borderId="2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center"/>
    </xf>
    <xf numFmtId="195" fontId="79" fillId="0" borderId="0" xfId="0" applyNumberFormat="1" applyFont="1" applyAlignment="1">
      <alignment vertical="center"/>
    </xf>
    <xf numFmtId="4" fontId="80" fillId="0" borderId="54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4" fontId="2" fillId="39" borderId="24" xfId="0" applyNumberFormat="1" applyFont="1" applyFill="1" applyBorder="1" applyAlignment="1">
      <alignment horizontal="right" vertical="center"/>
    </xf>
    <xf numFmtId="4" fontId="2" fillId="38" borderId="24" xfId="0" applyNumberFormat="1" applyFont="1" applyFill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40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3" fillId="13" borderId="29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13" fillId="0" borderId="24" xfId="0" applyNumberFormat="1" applyFont="1" applyFill="1" applyBorder="1" applyAlignment="1">
      <alignment vertical="center"/>
    </xf>
    <xf numFmtId="4" fontId="13" fillId="0" borderId="31" xfId="0" applyNumberFormat="1" applyFont="1" applyFill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32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4" fontId="31" fillId="13" borderId="16" xfId="0" applyNumberFormat="1" applyFont="1" applyFill="1" applyBorder="1" applyAlignment="1">
      <alignment horizontal="right" vertical="center" wrapText="1"/>
    </xf>
    <xf numFmtId="4" fontId="30" fillId="13" borderId="21" xfId="0" applyNumberFormat="1" applyFont="1" applyFill="1" applyBorder="1" applyAlignment="1">
      <alignment horizontal="right" vertical="center"/>
    </xf>
    <xf numFmtId="0" fontId="8" fillId="43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vertical="center" wrapText="1"/>
    </xf>
    <xf numFmtId="4" fontId="0" fillId="0" borderId="3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9" fillId="0" borderId="30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0" fontId="6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vertical="center" wrapText="1"/>
    </xf>
    <xf numFmtId="4" fontId="6" fillId="38" borderId="16" xfId="0" applyNumberFormat="1" applyFont="1" applyFill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 wrapText="1"/>
    </xf>
    <xf numFmtId="49" fontId="8" fillId="40" borderId="41" xfId="0" applyNumberFormat="1" applyFont="1" applyFill="1" applyBorder="1" applyAlignment="1">
      <alignment horizontal="center" vertical="center"/>
    </xf>
    <xf numFmtId="4" fontId="81" fillId="0" borderId="24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Border="1" applyAlignment="1">
      <alignment/>
    </xf>
    <xf numFmtId="0" fontId="8" fillId="40" borderId="10" xfId="0" applyFont="1" applyFill="1" applyBorder="1" applyAlignment="1">
      <alignment vertical="center"/>
    </xf>
    <xf numFmtId="0" fontId="8" fillId="40" borderId="33" xfId="0" applyFont="1" applyFill="1" applyBorder="1" applyAlignment="1">
      <alignment vertical="center" wrapText="1"/>
    </xf>
    <xf numFmtId="4" fontId="8" fillId="40" borderId="35" xfId="0" applyNumberFormat="1" applyFont="1" applyFill="1" applyBorder="1" applyAlignment="1">
      <alignment horizontal="right" vertical="center"/>
    </xf>
    <xf numFmtId="4" fontId="81" fillId="0" borderId="36" xfId="0" applyNumberFormat="1" applyFont="1" applyFill="1" applyBorder="1" applyAlignment="1">
      <alignment horizontal="right" vertical="center"/>
    </xf>
    <xf numFmtId="0" fontId="8" fillId="40" borderId="10" xfId="0" applyFont="1" applyFill="1" applyBorder="1" applyAlignment="1">
      <alignment horizontal="left" vertical="center" wrapText="1"/>
    </xf>
    <xf numFmtId="4" fontId="14" fillId="40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5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4" fillId="33" borderId="43" xfId="0" applyFont="1" applyFill="1" applyBorder="1" applyAlignment="1">
      <alignment horizontal="center" vertical="center" wrapText="1"/>
    </xf>
    <xf numFmtId="0" fontId="34" fillId="33" borderId="33" xfId="0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" fontId="14" fillId="40" borderId="14" xfId="0" applyNumberFormat="1" applyFont="1" applyFill="1" applyBorder="1" applyAlignment="1">
      <alignment horizontal="center" vertical="center"/>
    </xf>
    <xf numFmtId="4" fontId="14" fillId="40" borderId="37" xfId="0" applyNumberFormat="1" applyFont="1" applyFill="1" applyBorder="1" applyAlignment="1">
      <alignment horizontal="center" vertical="center"/>
    </xf>
    <xf numFmtId="4" fontId="14" fillId="40" borderId="15" xfId="0" applyNumberFormat="1" applyFont="1" applyFill="1" applyBorder="1" applyAlignment="1">
      <alignment horizontal="center" vertical="center"/>
    </xf>
    <xf numFmtId="4" fontId="14" fillId="40" borderId="39" xfId="0" applyNumberFormat="1" applyFont="1" applyFill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9" fontId="6" fillId="40" borderId="25" xfId="0" applyNumberFormat="1" applyFont="1" applyFill="1" applyBorder="1" applyAlignment="1">
      <alignment horizontal="center" vertical="center"/>
    </xf>
    <xf numFmtId="49" fontId="6" fillId="40" borderId="61" xfId="0" applyNumberFormat="1" applyFont="1" applyFill="1" applyBorder="1" applyAlignment="1">
      <alignment horizontal="center" vertical="center"/>
    </xf>
    <xf numFmtId="49" fontId="6" fillId="40" borderId="62" xfId="0" applyNumberFormat="1" applyFont="1" applyFill="1" applyBorder="1" applyAlignment="1">
      <alignment horizontal="center" vertical="center"/>
    </xf>
    <xf numFmtId="49" fontId="6" fillId="40" borderId="63" xfId="0" applyNumberFormat="1" applyFont="1" applyFill="1" applyBorder="1" applyAlignment="1">
      <alignment horizontal="center" vertical="center"/>
    </xf>
    <xf numFmtId="49" fontId="6" fillId="40" borderId="64" xfId="0" applyNumberFormat="1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">
      <selection activeCell="F40" sqref="F40"/>
    </sheetView>
  </sheetViews>
  <sheetFormatPr defaultColWidth="9.140625" defaultRowHeight="12.75"/>
  <sheetData>
    <row r="1" spans="1:13" ht="12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2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4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ht="12.75" customHeight="1"/>
    <row r="6" ht="12.75" customHeight="1"/>
    <row r="7" ht="12.75" customHeight="1"/>
    <row r="8" spans="9:11" ht="15">
      <c r="I8" s="18"/>
      <c r="J8" s="18"/>
      <c r="K8" s="18"/>
    </row>
    <row r="9" spans="9:11" ht="15">
      <c r="I9" s="18"/>
      <c r="J9" s="19"/>
      <c r="K9" s="18"/>
    </row>
    <row r="10" spans="9:11" ht="15">
      <c r="I10" s="18"/>
      <c r="J10" s="19"/>
      <c r="K10" s="18"/>
    </row>
    <row r="11" spans="8:11" ht="12.75" customHeight="1">
      <c r="H11" s="20"/>
      <c r="I11" s="18"/>
      <c r="J11" s="21"/>
      <c r="K11" s="22"/>
    </row>
    <row r="12" ht="12.75" customHeight="1"/>
    <row r="13" ht="7.5" customHeight="1"/>
    <row r="14" spans="10:12" ht="12.75" customHeight="1">
      <c r="J14" s="527" t="s">
        <v>602</v>
      </c>
      <c r="K14" s="527"/>
      <c r="L14" s="527"/>
    </row>
    <row r="16" ht="6" customHeight="1"/>
    <row r="17" ht="12.75" customHeight="1"/>
    <row r="18" spans="1:13" ht="12.75" customHeight="1">
      <c r="A18" s="525" t="s">
        <v>538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</row>
    <row r="19" spans="1:13" ht="12.75" customHeight="1">
      <c r="A19" s="525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</row>
    <row r="20" spans="1:13" ht="34.5" customHeight="1">
      <c r="A20" s="525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</row>
    <row r="21" spans="1:13" ht="39" customHeight="1">
      <c r="A21" s="525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</row>
    <row r="22" ht="12.75" customHeight="1"/>
    <row r="23" ht="9" customHeight="1"/>
    <row r="33" spans="8:13" ht="15.75">
      <c r="H33" s="526"/>
      <c r="I33" s="526"/>
      <c r="J33" s="526"/>
      <c r="K33" s="526"/>
      <c r="L33" s="526"/>
      <c r="M33" s="526"/>
    </row>
    <row r="34" spans="1:13" ht="15.75">
      <c r="A34" s="526" t="s">
        <v>595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</row>
  </sheetData>
  <sheetProtection/>
  <mergeCells count="4">
    <mergeCell ref="A18:M21"/>
    <mergeCell ref="H33:M33"/>
    <mergeCell ref="A34:M34"/>
    <mergeCell ref="J14:L1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63">
      <selection activeCell="B78" sqref="B78"/>
    </sheetView>
  </sheetViews>
  <sheetFormatPr defaultColWidth="9.140625" defaultRowHeight="12.75"/>
  <cols>
    <col min="1" max="1" width="11.00390625" style="0" bestFit="1" customWidth="1"/>
    <col min="2" max="2" width="63.57421875" style="0" customWidth="1"/>
    <col min="3" max="3" width="16.421875" style="143" customWidth="1"/>
    <col min="4" max="4" width="15.7109375" style="143" customWidth="1"/>
    <col min="5" max="5" width="15.57421875" style="143" customWidth="1"/>
    <col min="6" max="6" width="12.57421875" style="143" customWidth="1"/>
    <col min="7" max="7" width="9.140625" style="0" customWidth="1"/>
    <col min="8" max="8" width="16.7109375" style="0" customWidth="1"/>
    <col min="9" max="9" width="14.8515625" style="0" customWidth="1"/>
  </cols>
  <sheetData>
    <row r="1" spans="1:6" ht="53.25" customHeight="1" thickBot="1">
      <c r="A1" s="528" t="s">
        <v>541</v>
      </c>
      <c r="B1" s="528"/>
      <c r="C1" s="528"/>
      <c r="D1" s="528"/>
      <c r="E1" s="528"/>
      <c r="F1" s="528"/>
    </row>
    <row r="2" spans="1:6" ht="18.75" customHeight="1" thickTop="1">
      <c r="A2" s="529" t="s">
        <v>63</v>
      </c>
      <c r="B2" s="531" t="s">
        <v>232</v>
      </c>
      <c r="C2" s="533" t="s">
        <v>478</v>
      </c>
      <c r="D2" s="533" t="s">
        <v>539</v>
      </c>
      <c r="E2" s="533" t="s">
        <v>540</v>
      </c>
      <c r="F2" s="535" t="s">
        <v>118</v>
      </c>
    </row>
    <row r="3" spans="1:6" ht="42.75" customHeight="1">
      <c r="A3" s="530"/>
      <c r="B3" s="532"/>
      <c r="C3" s="534"/>
      <c r="D3" s="534"/>
      <c r="E3" s="534"/>
      <c r="F3" s="536"/>
    </row>
    <row r="4" spans="1:6" s="5" customFormat="1" ht="12.75" customHeight="1">
      <c r="A4" s="211">
        <v>1</v>
      </c>
      <c r="B4" s="109">
        <v>2</v>
      </c>
      <c r="C4" s="233">
        <v>3</v>
      </c>
      <c r="D4" s="233" t="s">
        <v>546</v>
      </c>
      <c r="E4" s="233">
        <v>5</v>
      </c>
      <c r="F4" s="110" t="s">
        <v>543</v>
      </c>
    </row>
    <row r="5" spans="1:8" ht="18" customHeight="1">
      <c r="A5" s="212"/>
      <c r="B5" s="114" t="s">
        <v>298</v>
      </c>
      <c r="C5" s="244">
        <f>C6+C13+C18+C20</f>
        <v>13552000</v>
      </c>
      <c r="D5" s="244">
        <f>D6+D13+D18+D20</f>
        <v>1770487</v>
      </c>
      <c r="E5" s="244">
        <f>E6+E13+E18+E20</f>
        <v>15322487</v>
      </c>
      <c r="F5" s="218">
        <f>IF(C5&gt;0,E5/C5*100,0)</f>
        <v>113.0643963990555</v>
      </c>
      <c r="H5" s="1"/>
    </row>
    <row r="6" spans="1:8" ht="15" customHeight="1">
      <c r="A6" s="219">
        <v>710000</v>
      </c>
      <c r="B6" s="153" t="s">
        <v>249</v>
      </c>
      <c r="C6" s="235">
        <f>C7+C8+C9+C10+C11+C12</f>
        <v>10030000</v>
      </c>
      <c r="D6" s="235">
        <f>D7+D8+D9+D10+D11+D12</f>
        <v>173500</v>
      </c>
      <c r="E6" s="235">
        <f>E7+E8+E9+E10+E11+E12</f>
        <v>10203500</v>
      </c>
      <c r="F6" s="281">
        <f aca="true" t="shared" si="0" ref="F6:F44">IF(C6&gt;0,E6/C6*100,0)</f>
        <v>101.72981056829511</v>
      </c>
      <c r="H6" s="1"/>
    </row>
    <row r="7" spans="1:8" ht="14.25" customHeight="1">
      <c r="A7" s="216">
        <v>711100</v>
      </c>
      <c r="B7" s="92" t="s">
        <v>210</v>
      </c>
      <c r="C7" s="184">
        <f>'B.pr. i prim. za nef. im.'!D7</f>
        <v>3000</v>
      </c>
      <c r="D7" s="184">
        <f>'B.pr. i prim. za nef. im.'!E7</f>
        <v>-2500</v>
      </c>
      <c r="E7" s="184">
        <f>'B.pr. i prim. za nef. im.'!F7</f>
        <v>500</v>
      </c>
      <c r="F7" s="284">
        <f t="shared" si="0"/>
        <v>16.666666666666664</v>
      </c>
      <c r="H7" s="1"/>
    </row>
    <row r="8" spans="1:8" ht="13.5" customHeight="1">
      <c r="A8" s="216">
        <v>713000</v>
      </c>
      <c r="B8" s="44" t="s">
        <v>5</v>
      </c>
      <c r="C8" s="184">
        <f>'B.pr. i prim. za nef. im.'!D9</f>
        <v>1160000</v>
      </c>
      <c r="D8" s="184">
        <f>'B.pr. i prim. za nef. im.'!E9</f>
        <v>-95000</v>
      </c>
      <c r="E8" s="184">
        <f>'B.pr. i prim. za nef. im.'!F9</f>
        <v>1065000</v>
      </c>
      <c r="F8" s="284">
        <f t="shared" si="0"/>
        <v>91.8103448275862</v>
      </c>
      <c r="H8" s="1"/>
    </row>
    <row r="9" spans="1:8" ht="14.25" customHeight="1">
      <c r="A9" s="216">
        <v>714000</v>
      </c>
      <c r="B9" s="44" t="s">
        <v>9</v>
      </c>
      <c r="C9" s="184">
        <f>'B.pr. i prim. za nef. im.'!D12</f>
        <v>350000</v>
      </c>
      <c r="D9" s="184">
        <f>'B.pr. i prim. za nef. im.'!E12</f>
        <v>-20000</v>
      </c>
      <c r="E9" s="184">
        <f>'B.pr. i prim. za nef. im.'!F12</f>
        <v>330000</v>
      </c>
      <c r="F9" s="284">
        <f t="shared" si="0"/>
        <v>94.28571428571428</v>
      </c>
      <c r="H9" s="1"/>
    </row>
    <row r="10" spans="1:8" ht="14.25" customHeight="1">
      <c r="A10" s="216">
        <v>715000</v>
      </c>
      <c r="B10" s="44" t="s">
        <v>174</v>
      </c>
      <c r="C10" s="184">
        <f>'B.pr. i prim. za nef. im.'!D14</f>
        <v>55000</v>
      </c>
      <c r="D10" s="184">
        <f>'B.pr. i prim. za nef. im.'!E14</f>
        <v>-54000</v>
      </c>
      <c r="E10" s="184">
        <f>'B.pr. i prim. za nef. im.'!F14</f>
        <v>1000</v>
      </c>
      <c r="F10" s="284">
        <f t="shared" si="0"/>
        <v>1.8181818181818181</v>
      </c>
      <c r="H10" s="1"/>
    </row>
    <row r="11" spans="1:8" ht="14.25" customHeight="1">
      <c r="A11" s="216">
        <v>717000</v>
      </c>
      <c r="B11" s="92" t="s">
        <v>385</v>
      </c>
      <c r="C11" s="184">
        <f>'B.pr. i prim. za nef. im.'!D17</f>
        <v>8450000</v>
      </c>
      <c r="D11" s="184">
        <f>'B.pr. i prim. za nef. im.'!E17</f>
        <v>350000</v>
      </c>
      <c r="E11" s="184">
        <f>'B.pr. i prim. za nef. im.'!F17</f>
        <v>8800000</v>
      </c>
      <c r="F11" s="284">
        <f t="shared" si="0"/>
        <v>104.14201183431953</v>
      </c>
      <c r="H11" s="1"/>
    </row>
    <row r="12" spans="1:8" ht="14.25" customHeight="1">
      <c r="A12" s="216">
        <v>719000</v>
      </c>
      <c r="B12" s="44" t="s">
        <v>386</v>
      </c>
      <c r="C12" s="184">
        <f>'B.pr. i prim. za nef. im.'!D19</f>
        <v>12000</v>
      </c>
      <c r="D12" s="184">
        <f>'B.pr. i prim. za nef. im.'!E19</f>
        <v>-5000</v>
      </c>
      <c r="E12" s="184">
        <f>'B.pr. i prim. za nef. im.'!F19</f>
        <v>7000</v>
      </c>
      <c r="F12" s="284">
        <f t="shared" si="0"/>
        <v>58.333333333333336</v>
      </c>
      <c r="H12" s="1"/>
    </row>
    <row r="13" spans="1:8" ht="15" customHeight="1">
      <c r="A13" s="219">
        <v>720000</v>
      </c>
      <c r="B13" s="153" t="s">
        <v>252</v>
      </c>
      <c r="C13" s="235">
        <f>C14+C15+C16+C17</f>
        <v>2544500</v>
      </c>
      <c r="D13" s="235">
        <f>D14+D15+D16+D17</f>
        <v>-97921</v>
      </c>
      <c r="E13" s="235">
        <f>E14+E15+E16+E17</f>
        <v>2446579</v>
      </c>
      <c r="F13" s="281">
        <f t="shared" si="0"/>
        <v>96.15166044409511</v>
      </c>
      <c r="H13" s="1"/>
    </row>
    <row r="14" spans="1:8" ht="14.25" customHeight="1">
      <c r="A14" s="214">
        <v>721000</v>
      </c>
      <c r="B14" s="92" t="s">
        <v>175</v>
      </c>
      <c r="C14" s="184">
        <f>'B.pr. i prim. za nef. im.'!D22</f>
        <v>202000</v>
      </c>
      <c r="D14" s="184">
        <f>'B.pr. i prim. za nef. im.'!E22</f>
        <v>-6421</v>
      </c>
      <c r="E14" s="184">
        <f>'B.pr. i prim. za nef. im.'!F22</f>
        <v>195579</v>
      </c>
      <c r="F14" s="284">
        <f t="shared" si="0"/>
        <v>96.82128712871287</v>
      </c>
      <c r="H14" s="1"/>
    </row>
    <row r="15" spans="1:8" ht="14.25" customHeight="1">
      <c r="A15" s="214">
        <v>722000</v>
      </c>
      <c r="B15" s="27" t="s">
        <v>178</v>
      </c>
      <c r="C15" s="184">
        <f>'B.pr. i prim. za nef. im.'!D29</f>
        <v>2277500</v>
      </c>
      <c r="D15" s="184">
        <f>'B.pr. i prim. za nef. im.'!E29</f>
        <v>-95500</v>
      </c>
      <c r="E15" s="184">
        <f>'B.pr. i prim. za nef. im.'!F29</f>
        <v>2182000</v>
      </c>
      <c r="F15" s="284">
        <f t="shared" si="0"/>
        <v>95.80680570801317</v>
      </c>
      <c r="H15" s="1"/>
    </row>
    <row r="16" spans="1:8" ht="14.25" customHeight="1">
      <c r="A16" s="214">
        <v>723000</v>
      </c>
      <c r="B16" s="44" t="s">
        <v>23</v>
      </c>
      <c r="C16" s="245">
        <f>'B.pr. i prim. za nef. im.'!D61</f>
        <v>13000</v>
      </c>
      <c r="D16" s="245">
        <f>'B.pr. i prim. za nef. im.'!E61</f>
        <v>1000</v>
      </c>
      <c r="E16" s="245">
        <f>'B.pr. i prim. za nef. im.'!F61</f>
        <v>14000</v>
      </c>
      <c r="F16" s="284">
        <f t="shared" si="0"/>
        <v>107.6923076923077</v>
      </c>
      <c r="H16" s="1"/>
    </row>
    <row r="17" spans="1:8" ht="12.75">
      <c r="A17" s="214">
        <v>729000</v>
      </c>
      <c r="B17" s="27" t="s">
        <v>24</v>
      </c>
      <c r="C17" s="245">
        <f>'B.pr. i prim. za nef. im.'!D63</f>
        <v>52000</v>
      </c>
      <c r="D17" s="245">
        <f>'B.pr. i prim. za nef. im.'!E63</f>
        <v>3000</v>
      </c>
      <c r="E17" s="245">
        <f>'B.pr. i prim. za nef. im.'!F63</f>
        <v>55000</v>
      </c>
      <c r="F17" s="284">
        <f t="shared" si="0"/>
        <v>105.76923076923077</v>
      </c>
      <c r="H17" s="1"/>
    </row>
    <row r="18" spans="1:8" ht="15" customHeight="1">
      <c r="A18" s="215">
        <v>730000</v>
      </c>
      <c r="B18" s="154" t="s">
        <v>258</v>
      </c>
      <c r="C18" s="235">
        <f>C19</f>
        <v>0</v>
      </c>
      <c r="D18" s="235">
        <f>D19</f>
        <v>245700</v>
      </c>
      <c r="E18" s="235">
        <f>E19</f>
        <v>245700</v>
      </c>
      <c r="F18" s="281">
        <f t="shared" si="0"/>
        <v>0</v>
      </c>
      <c r="H18" s="1"/>
    </row>
    <row r="19" spans="1:8" ht="15" customHeight="1">
      <c r="A19" s="216">
        <v>731000</v>
      </c>
      <c r="B19" s="34" t="s">
        <v>156</v>
      </c>
      <c r="C19" s="184">
        <f>'B.pr. i prim. za nef. im.'!D65</f>
        <v>0</v>
      </c>
      <c r="D19" s="184">
        <f>'B.pr. i prim. za nef. im.'!E65</f>
        <v>245700</v>
      </c>
      <c r="E19" s="184">
        <f>'B.pr. i prim. za nef. im.'!F65</f>
        <v>245700</v>
      </c>
      <c r="F19" s="284">
        <f t="shared" si="0"/>
        <v>0</v>
      </c>
      <c r="H19" s="1"/>
    </row>
    <row r="20" spans="1:9" s="2" customFormat="1" ht="15" customHeight="1">
      <c r="A20" s="215">
        <v>780000</v>
      </c>
      <c r="B20" s="155" t="s">
        <v>387</v>
      </c>
      <c r="C20" s="235">
        <f>C21</f>
        <v>977500</v>
      </c>
      <c r="D20" s="235">
        <f>D21</f>
        <v>1449208</v>
      </c>
      <c r="E20" s="235">
        <f>E21</f>
        <v>2426708</v>
      </c>
      <c r="F20" s="281">
        <f t="shared" si="0"/>
        <v>248.25657289002558</v>
      </c>
      <c r="H20" s="1"/>
      <c r="I20"/>
    </row>
    <row r="21" spans="1:9" s="2" customFormat="1" ht="15" customHeight="1">
      <c r="A21" s="216">
        <v>787000</v>
      </c>
      <c r="B21" s="44" t="s">
        <v>388</v>
      </c>
      <c r="C21" s="184">
        <f>'B.pr. i prim. za nef. im.'!D76</f>
        <v>977500</v>
      </c>
      <c r="D21" s="184">
        <f>'B.pr. i prim. za nef. im.'!E76</f>
        <v>1449208</v>
      </c>
      <c r="E21" s="184">
        <f>'B.pr. i prim. za nef. im.'!F76</f>
        <v>2426708</v>
      </c>
      <c r="F21" s="284">
        <f t="shared" si="0"/>
        <v>248.25657289002558</v>
      </c>
      <c r="H21" s="1"/>
      <c r="I21"/>
    </row>
    <row r="22" spans="1:9" s="2" customFormat="1" ht="15" customHeight="1">
      <c r="A22" s="214"/>
      <c r="B22" s="114" t="s">
        <v>391</v>
      </c>
      <c r="C22" s="246">
        <f>C23+C32+C34</f>
        <v>11399200</v>
      </c>
      <c r="D22" s="246">
        <f>D23+D32+D34</f>
        <v>354737</v>
      </c>
      <c r="E22" s="246">
        <f>E23+E32+E34</f>
        <v>11753937</v>
      </c>
      <c r="F22" s="218">
        <f t="shared" si="0"/>
        <v>103.11194645238263</v>
      </c>
      <c r="H22" s="1"/>
      <c r="I22"/>
    </row>
    <row r="23" spans="1:9" s="2" customFormat="1" ht="15" customHeight="1">
      <c r="A23" s="219">
        <v>410000</v>
      </c>
      <c r="B23" s="162" t="s">
        <v>299</v>
      </c>
      <c r="C23" s="235">
        <f>SUM(C24:C31)</f>
        <v>11057500</v>
      </c>
      <c r="D23" s="235">
        <f>SUM(D24:D31)</f>
        <v>504722</v>
      </c>
      <c r="E23" s="235">
        <f>SUM(E24:E31)</f>
        <v>11562222</v>
      </c>
      <c r="F23" s="281">
        <f t="shared" si="0"/>
        <v>104.56452181777074</v>
      </c>
      <c r="H23" s="1"/>
      <c r="I23"/>
    </row>
    <row r="24" spans="1:9" s="2" customFormat="1" ht="14.25" customHeight="1">
      <c r="A24" s="216">
        <v>411000</v>
      </c>
      <c r="B24" s="156" t="s">
        <v>140</v>
      </c>
      <c r="C24" s="184">
        <f>'B.rash. i izdaci za nef. im.'!C6</f>
        <v>3861000</v>
      </c>
      <c r="D24" s="184">
        <f>'B.rash. i izdaci za nef. im.'!D6</f>
        <v>303330</v>
      </c>
      <c r="E24" s="184">
        <f>'B.rash. i izdaci za nef. im.'!E6</f>
        <v>4164330</v>
      </c>
      <c r="F24" s="284">
        <f t="shared" si="0"/>
        <v>107.85625485625485</v>
      </c>
      <c r="H24" s="1"/>
      <c r="I24"/>
    </row>
    <row r="25" spans="1:9" s="2" customFormat="1" ht="12.75">
      <c r="A25" s="216">
        <v>412000</v>
      </c>
      <c r="B25" s="157" t="s">
        <v>142</v>
      </c>
      <c r="C25" s="68">
        <f>'B.rash. i izdaci za nef. im.'!C11</f>
        <v>2593050</v>
      </c>
      <c r="D25" s="68">
        <f>'B.rash. i izdaci za nef. im.'!D11</f>
        <v>91690</v>
      </c>
      <c r="E25" s="68">
        <f>'B.rash. i izdaci za nef. im.'!E11</f>
        <v>2684740</v>
      </c>
      <c r="F25" s="284">
        <f t="shared" si="0"/>
        <v>103.53599043597308</v>
      </c>
      <c r="H25" s="1"/>
      <c r="I25"/>
    </row>
    <row r="26" spans="1:9" s="2" customFormat="1" ht="12.75">
      <c r="A26" s="216">
        <v>413000</v>
      </c>
      <c r="B26" s="158" t="s">
        <v>152</v>
      </c>
      <c r="C26" s="247">
        <f>'B.rash. i izdaci za nef. im.'!C21</f>
        <v>286500</v>
      </c>
      <c r="D26" s="247">
        <f>'B.rash. i izdaci za nef. im.'!D21</f>
        <v>-35228</v>
      </c>
      <c r="E26" s="184">
        <f>'B.rash. i izdaci za nef. im.'!E21</f>
        <v>251272</v>
      </c>
      <c r="F26" s="284">
        <f t="shared" si="0"/>
        <v>87.70401396160558</v>
      </c>
      <c r="H26" s="1"/>
      <c r="I26"/>
    </row>
    <row r="27" spans="1:9" s="2" customFormat="1" ht="12.75">
      <c r="A27" s="216">
        <v>414000</v>
      </c>
      <c r="B27" s="156" t="s">
        <v>197</v>
      </c>
      <c r="C27" s="184">
        <f>'B.rash. i izdaci za nef. im.'!C25</f>
        <v>410000</v>
      </c>
      <c r="D27" s="184">
        <f>'B.rash. i izdaci za nef. im.'!D25</f>
        <v>0</v>
      </c>
      <c r="E27" s="184">
        <f>'B.rash. i izdaci za nef. im.'!E25</f>
        <v>410000</v>
      </c>
      <c r="F27" s="284">
        <f t="shared" si="0"/>
        <v>100</v>
      </c>
      <c r="H27" s="1"/>
      <c r="I27"/>
    </row>
    <row r="28" spans="1:9" s="2" customFormat="1" ht="12.75">
      <c r="A28" s="216">
        <v>415000</v>
      </c>
      <c r="B28" s="157" t="s">
        <v>156</v>
      </c>
      <c r="C28" s="184">
        <f>'B.rash. i izdaci za nef. im.'!C27</f>
        <v>1063800</v>
      </c>
      <c r="D28" s="184">
        <f>'B.rash. i izdaci za nef. im.'!D27</f>
        <v>119906</v>
      </c>
      <c r="E28" s="184">
        <f>'B.rash. i izdaci za nef. im.'!E27</f>
        <v>1183706</v>
      </c>
      <c r="F28" s="284">
        <f t="shared" si="0"/>
        <v>111.27147960142885</v>
      </c>
      <c r="H28" s="1"/>
      <c r="I28"/>
    </row>
    <row r="29" spans="1:9" s="2" customFormat="1" ht="15.75" customHeight="1">
      <c r="A29" s="216">
        <v>416000</v>
      </c>
      <c r="B29" s="156" t="s">
        <v>165</v>
      </c>
      <c r="C29" s="184">
        <f>'B.rash. i izdaci za nef. im.'!C29</f>
        <v>2685000</v>
      </c>
      <c r="D29" s="184">
        <f>'B.rash. i izdaci za nef. im.'!D29</f>
        <v>23714</v>
      </c>
      <c r="E29" s="184">
        <f>'B.rash. i izdaci za nef. im.'!E29</f>
        <v>2708714</v>
      </c>
      <c r="F29" s="284">
        <f t="shared" si="0"/>
        <v>100.88320297951583</v>
      </c>
      <c r="H29" s="1"/>
      <c r="I29"/>
    </row>
    <row r="30" spans="1:9" s="2" customFormat="1" ht="26.25" customHeight="1">
      <c r="A30" s="216">
        <v>418000</v>
      </c>
      <c r="B30" s="156" t="s">
        <v>389</v>
      </c>
      <c r="C30" s="68">
        <f>'B.rash. i izdaci za nef. im.'!C32</f>
        <v>4000</v>
      </c>
      <c r="D30" s="68">
        <f>'B.rash. i izdaci za nef. im.'!D32</f>
        <v>0</v>
      </c>
      <c r="E30" s="68">
        <f>'B.rash. i izdaci za nef. im.'!E32</f>
        <v>4000</v>
      </c>
      <c r="F30" s="284">
        <f t="shared" si="0"/>
        <v>100</v>
      </c>
      <c r="H30" s="1"/>
      <c r="I30"/>
    </row>
    <row r="31" spans="1:9" s="2" customFormat="1" ht="16.5" customHeight="1">
      <c r="A31" s="216">
        <v>419000</v>
      </c>
      <c r="B31" s="156" t="s">
        <v>390</v>
      </c>
      <c r="C31" s="184">
        <f>'B.rash. i izdaci za nef. im.'!C34</f>
        <v>154150</v>
      </c>
      <c r="D31" s="184">
        <f>'B.rash. i izdaci za nef. im.'!D34</f>
        <v>1310</v>
      </c>
      <c r="E31" s="184">
        <f>'B.rash. i izdaci za nef. im.'!E34</f>
        <v>155460</v>
      </c>
      <c r="F31" s="284">
        <f t="shared" si="0"/>
        <v>100.84982160233538</v>
      </c>
      <c r="H31" s="1"/>
      <c r="I31"/>
    </row>
    <row r="32" spans="1:9" s="2" customFormat="1" ht="16.5" customHeight="1">
      <c r="A32" s="219">
        <v>480000</v>
      </c>
      <c r="B32" s="162" t="s">
        <v>393</v>
      </c>
      <c r="C32" s="235">
        <f>SUM(C33)</f>
        <v>181700</v>
      </c>
      <c r="D32" s="235">
        <f>SUM(D33)</f>
        <v>-9985</v>
      </c>
      <c r="E32" s="235">
        <f>SUM(E33)</f>
        <v>171715</v>
      </c>
      <c r="F32" s="281">
        <f t="shared" si="0"/>
        <v>94.50467804072647</v>
      </c>
      <c r="H32" s="1"/>
      <c r="I32"/>
    </row>
    <row r="33" spans="1:9" s="2" customFormat="1" ht="16.5" customHeight="1">
      <c r="A33" s="216">
        <v>487000</v>
      </c>
      <c r="B33" s="156" t="s">
        <v>388</v>
      </c>
      <c r="C33" s="184">
        <f>'B.rash. i izdaci za nef. im.'!C36</f>
        <v>181700</v>
      </c>
      <c r="D33" s="184">
        <f>'B.rash. i izdaci za nef. im.'!D36</f>
        <v>-9985</v>
      </c>
      <c r="E33" s="184">
        <f>'B.rash. i izdaci za nef. im.'!E36</f>
        <v>171715</v>
      </c>
      <c r="F33" s="284">
        <f t="shared" si="0"/>
        <v>94.50467804072647</v>
      </c>
      <c r="H33" s="1"/>
      <c r="I33"/>
    </row>
    <row r="34" spans="1:9" s="2" customFormat="1" ht="15.75" customHeight="1">
      <c r="A34" s="219" t="s">
        <v>218</v>
      </c>
      <c r="B34" s="162" t="s">
        <v>392</v>
      </c>
      <c r="C34" s="235">
        <f>'B.rash. i izdaci za nef. im.'!C41</f>
        <v>160000</v>
      </c>
      <c r="D34" s="235">
        <f>'B.rash. i izdaci za nef. im.'!D41</f>
        <v>-140000</v>
      </c>
      <c r="E34" s="235">
        <f>'B.rash. i izdaci za nef. im.'!E41</f>
        <v>20000</v>
      </c>
      <c r="F34" s="281">
        <f t="shared" si="0"/>
        <v>12.5</v>
      </c>
      <c r="H34" s="1"/>
      <c r="I34"/>
    </row>
    <row r="35" spans="1:9" s="2" customFormat="1" ht="16.5" customHeight="1">
      <c r="A35" s="214"/>
      <c r="B35" s="159" t="s">
        <v>300</v>
      </c>
      <c r="C35" s="248">
        <f>C5-C22</f>
        <v>2152800</v>
      </c>
      <c r="D35" s="248">
        <f>D5-D22</f>
        <v>1415750</v>
      </c>
      <c r="E35" s="248">
        <f>E5-E22</f>
        <v>3568550</v>
      </c>
      <c r="F35" s="282">
        <f t="shared" si="0"/>
        <v>165.76319212188778</v>
      </c>
      <c r="H35" s="1"/>
      <c r="I35"/>
    </row>
    <row r="36" spans="1:9" s="2" customFormat="1" ht="16.5" customHeight="1">
      <c r="A36" s="214"/>
      <c r="B36" s="161" t="s">
        <v>301</v>
      </c>
      <c r="C36" s="234">
        <f>C37-C41</f>
        <v>-2767453.87</v>
      </c>
      <c r="D36" s="234">
        <f>D37-D41</f>
        <v>-1576957.13</v>
      </c>
      <c r="E36" s="234">
        <f>E37-E41</f>
        <v>-4344411</v>
      </c>
      <c r="F36" s="218">
        <f t="shared" si="0"/>
        <v>0</v>
      </c>
      <c r="H36" s="1"/>
      <c r="I36"/>
    </row>
    <row r="37" spans="1:8" ht="15" customHeight="1">
      <c r="A37" s="219">
        <v>810000</v>
      </c>
      <c r="B37" s="162" t="s">
        <v>260</v>
      </c>
      <c r="C37" s="235">
        <f>C38+C39+C40</f>
        <v>105000</v>
      </c>
      <c r="D37" s="235">
        <f>D38+D39+D40</f>
        <v>90000</v>
      </c>
      <c r="E37" s="235">
        <f>E38+E39+E40</f>
        <v>195000</v>
      </c>
      <c r="F37" s="281">
        <f t="shared" si="0"/>
        <v>185.71428571428572</v>
      </c>
      <c r="H37" s="1"/>
    </row>
    <row r="38" spans="1:8" ht="14.25" customHeight="1">
      <c r="A38" s="216">
        <v>811000</v>
      </c>
      <c r="B38" s="44" t="s">
        <v>193</v>
      </c>
      <c r="C38" s="184">
        <f>'B.pr. i prim. za nef. im.'!D89</f>
        <v>0</v>
      </c>
      <c r="D38" s="184">
        <f>'B.pr. i prim. za nef. im.'!E89</f>
        <v>0</v>
      </c>
      <c r="E38" s="184">
        <f>'B.pr. i prim. za nef. im.'!F89</f>
        <v>0</v>
      </c>
      <c r="F38" s="284">
        <f t="shared" si="0"/>
        <v>0</v>
      </c>
      <c r="H38" s="1"/>
    </row>
    <row r="39" spans="1:8" ht="14.25" customHeight="1">
      <c r="A39" s="216">
        <v>813000</v>
      </c>
      <c r="B39" s="44" t="s">
        <v>180</v>
      </c>
      <c r="C39" s="184">
        <f>'B.pr. i prim. za nef. im.'!D91</f>
        <v>100000</v>
      </c>
      <c r="D39" s="184">
        <f>'B.pr. i prim. za nef. im.'!E91</f>
        <v>90000</v>
      </c>
      <c r="E39" s="184">
        <f>'B.pr. i prim. za nef. im.'!F91</f>
        <v>190000</v>
      </c>
      <c r="F39" s="284">
        <f t="shared" si="0"/>
        <v>190</v>
      </c>
      <c r="H39" s="1"/>
    </row>
    <row r="40" spans="1:8" ht="27" customHeight="1">
      <c r="A40" s="216">
        <v>816000</v>
      </c>
      <c r="B40" s="44" t="s">
        <v>531</v>
      </c>
      <c r="C40" s="184">
        <f>'B.pr. i prim. za nef. im.'!D93</f>
        <v>5000</v>
      </c>
      <c r="D40" s="184">
        <f>'B.pr. i prim. za nef. im.'!E93</f>
        <v>0</v>
      </c>
      <c r="E40" s="184">
        <f>'B.pr. i prim. za nef. im.'!F93</f>
        <v>5000</v>
      </c>
      <c r="F40" s="284">
        <f t="shared" si="0"/>
        <v>100</v>
      </c>
      <c r="H40" s="1"/>
    </row>
    <row r="41" spans="1:8" ht="16.5" customHeight="1">
      <c r="A41" s="219">
        <v>510000</v>
      </c>
      <c r="B41" s="162" t="s">
        <v>303</v>
      </c>
      <c r="C41" s="235">
        <f>SUM(C42:C44)</f>
        <v>2872453.87</v>
      </c>
      <c r="D41" s="235">
        <f>SUM(D42:D44)</f>
        <v>1666957.13</v>
      </c>
      <c r="E41" s="235">
        <f>SUM(E42:E44)</f>
        <v>4539411</v>
      </c>
      <c r="F41" s="281">
        <f t="shared" si="0"/>
        <v>158.0325117631915</v>
      </c>
      <c r="H41" s="1"/>
    </row>
    <row r="42" spans="1:8" ht="12.75">
      <c r="A42" s="216">
        <v>511000</v>
      </c>
      <c r="B42" s="44" t="s">
        <v>160</v>
      </c>
      <c r="C42" s="184">
        <f>'B.rash. i izdaci za nef. im.'!C43</f>
        <v>2748453.87</v>
      </c>
      <c r="D42" s="184">
        <f>'B.rash. i izdaci za nef. im.'!D43</f>
        <v>1656971.13</v>
      </c>
      <c r="E42" s="184">
        <f>'B.rash. i izdaci za nef. im.'!E43</f>
        <v>4405425</v>
      </c>
      <c r="F42" s="284">
        <f t="shared" si="0"/>
        <v>160.28739096137713</v>
      </c>
      <c r="H42" s="1"/>
    </row>
    <row r="43" spans="1:8" ht="12.75">
      <c r="A43" s="220">
        <v>513000</v>
      </c>
      <c r="B43" s="157" t="s">
        <v>187</v>
      </c>
      <c r="C43" s="184">
        <f>'B.rash. i izdaci za nef. im.'!C48</f>
        <v>110000</v>
      </c>
      <c r="D43" s="184">
        <f>'B.rash. i izdaci za nef. im.'!D48</f>
        <v>8400</v>
      </c>
      <c r="E43" s="184">
        <f>'B.rash. i izdaci za nef. im.'!E48</f>
        <v>118400</v>
      </c>
      <c r="F43" s="284">
        <f t="shared" si="0"/>
        <v>107.63636363636364</v>
      </c>
      <c r="H43" s="1"/>
    </row>
    <row r="44" spans="1:8" ht="13.5" customHeight="1">
      <c r="A44" s="220">
        <v>516000</v>
      </c>
      <c r="B44" s="156" t="s">
        <v>365</v>
      </c>
      <c r="C44" s="184">
        <f>'B.rash. i izdaci za nef. im.'!C50</f>
        <v>14000</v>
      </c>
      <c r="D44" s="184">
        <f>'B.rash. i izdaci za nef. im.'!D50</f>
        <v>1586</v>
      </c>
      <c r="E44" s="184">
        <f>'B.rash. i izdaci za nef. im.'!E50</f>
        <v>15586</v>
      </c>
      <c r="F44" s="284">
        <f t="shared" si="0"/>
        <v>111.32857142857142</v>
      </c>
      <c r="H44" s="1"/>
    </row>
    <row r="45" spans="1:8" ht="18.75" customHeight="1">
      <c r="A45" s="220"/>
      <c r="B45" s="159" t="s">
        <v>304</v>
      </c>
      <c r="C45" s="248">
        <f>C35+C36</f>
        <v>-614653.8700000001</v>
      </c>
      <c r="D45" s="248">
        <f>D35+D36</f>
        <v>-161207.1299999999</v>
      </c>
      <c r="E45" s="248">
        <f>E35+E36</f>
        <v>-775861</v>
      </c>
      <c r="F45" s="494" t="s">
        <v>322</v>
      </c>
      <c r="H45" s="1"/>
    </row>
    <row r="46" spans="1:8" ht="15.75" customHeight="1">
      <c r="A46" s="220"/>
      <c r="B46" s="114" t="s">
        <v>394</v>
      </c>
      <c r="C46" s="234">
        <f>C47+C52+C58+C65</f>
        <v>614653.8700000005</v>
      </c>
      <c r="D46" s="234">
        <f>D47+D52+D58+D65</f>
        <v>161207.13000000003</v>
      </c>
      <c r="E46" s="234">
        <f>E47+E52+E58+E65</f>
        <v>775861</v>
      </c>
      <c r="F46" s="218">
        <f aca="true" t="shared" si="1" ref="F46:F65">IF(C46&gt;0,E46/C46*100,0)</f>
        <v>126.22730253044682</v>
      </c>
      <c r="H46" s="1"/>
    </row>
    <row r="47" spans="1:8" ht="17.25" customHeight="1">
      <c r="A47" s="220"/>
      <c r="B47" s="114" t="s">
        <v>305</v>
      </c>
      <c r="C47" s="234">
        <f>C48-C50</f>
        <v>0</v>
      </c>
      <c r="D47" s="234">
        <f>D48-D50</f>
        <v>0</v>
      </c>
      <c r="E47" s="234">
        <f>E48-E50</f>
        <v>0</v>
      </c>
      <c r="F47" s="218">
        <f t="shared" si="1"/>
        <v>0</v>
      </c>
      <c r="H47" s="1"/>
    </row>
    <row r="48" spans="1:8" ht="15" customHeight="1">
      <c r="A48" s="219">
        <v>910000</v>
      </c>
      <c r="B48" s="162" t="s">
        <v>306</v>
      </c>
      <c r="C48" s="235">
        <f>SUM(C49)</f>
        <v>0</v>
      </c>
      <c r="D48" s="235">
        <f>SUM(D49)</f>
        <v>0</v>
      </c>
      <c r="E48" s="235">
        <f>SUM(E49)</f>
        <v>0</v>
      </c>
      <c r="F48" s="281">
        <f t="shared" si="1"/>
        <v>0</v>
      </c>
      <c r="H48" s="1"/>
    </row>
    <row r="49" spans="1:8" ht="14.25" customHeight="1">
      <c r="A49" s="75">
        <v>911000</v>
      </c>
      <c r="B49" s="39" t="s">
        <v>307</v>
      </c>
      <c r="C49" s="185">
        <f>Finansiranje!C8</f>
        <v>0</v>
      </c>
      <c r="D49" s="185">
        <f>Finansiranje!D8</f>
        <v>0</v>
      </c>
      <c r="E49" s="185">
        <f>Finansiranje!E8</f>
        <v>0</v>
      </c>
      <c r="F49" s="284">
        <f t="shared" si="1"/>
        <v>0</v>
      </c>
      <c r="H49" s="1"/>
    </row>
    <row r="50" spans="1:8" ht="14.25" customHeight="1">
      <c r="A50" s="219">
        <v>610000</v>
      </c>
      <c r="B50" s="162" t="s">
        <v>308</v>
      </c>
      <c r="C50" s="235">
        <f>SUM(C51)</f>
        <v>0</v>
      </c>
      <c r="D50" s="235">
        <f>SUM(D51)</f>
        <v>0</v>
      </c>
      <c r="E50" s="235">
        <f>SUM(E51)</f>
        <v>0</v>
      </c>
      <c r="F50" s="281">
        <f t="shared" si="1"/>
        <v>0</v>
      </c>
      <c r="H50" s="1"/>
    </row>
    <row r="51" spans="1:8" ht="14.25" customHeight="1">
      <c r="A51" s="75">
        <v>611000</v>
      </c>
      <c r="B51" s="39" t="s">
        <v>309</v>
      </c>
      <c r="C51" s="185">
        <f>Finansiranje!C10</f>
        <v>0</v>
      </c>
      <c r="D51" s="185">
        <f>Finansiranje!D10</f>
        <v>0</v>
      </c>
      <c r="E51" s="185">
        <f>Finansiranje!E10</f>
        <v>0</v>
      </c>
      <c r="F51" s="284">
        <f t="shared" si="1"/>
        <v>0</v>
      </c>
      <c r="H51" s="1"/>
    </row>
    <row r="52" spans="1:8" ht="14.25" customHeight="1">
      <c r="A52" s="75"/>
      <c r="B52" s="114" t="s">
        <v>310</v>
      </c>
      <c r="C52" s="234">
        <f>C53-C55</f>
        <v>118272.02000000048</v>
      </c>
      <c r="D52" s="234">
        <f>D53-D55</f>
        <v>41496.98000000004</v>
      </c>
      <c r="E52" s="234">
        <f>E53-E55</f>
        <v>159769</v>
      </c>
      <c r="F52" s="218">
        <f t="shared" si="1"/>
        <v>135.08604993809976</v>
      </c>
      <c r="H52" s="1"/>
    </row>
    <row r="53" spans="1:8" ht="15" customHeight="1">
      <c r="A53" s="219">
        <v>920000</v>
      </c>
      <c r="B53" s="162" t="s">
        <v>313</v>
      </c>
      <c r="C53" s="235">
        <f>SUM(C54)</f>
        <v>7000000</v>
      </c>
      <c r="D53" s="235">
        <f>SUM(D54)</f>
        <v>0</v>
      </c>
      <c r="E53" s="235">
        <f>SUM(E54)</f>
        <v>7000000</v>
      </c>
      <c r="F53" s="281">
        <f t="shared" si="1"/>
        <v>100</v>
      </c>
      <c r="H53" s="1"/>
    </row>
    <row r="54" spans="1:8" ht="14.25" customHeight="1">
      <c r="A54" s="75">
        <v>921000</v>
      </c>
      <c r="B54" s="86" t="s">
        <v>517</v>
      </c>
      <c r="C54" s="68">
        <f>Finansiranje!C13</f>
        <v>7000000</v>
      </c>
      <c r="D54" s="68">
        <f>Finansiranje!D13</f>
        <v>0</v>
      </c>
      <c r="E54" s="68">
        <f>Finansiranje!E13</f>
        <v>7000000</v>
      </c>
      <c r="F54" s="284">
        <f t="shared" si="1"/>
        <v>100</v>
      </c>
      <c r="H54" s="1"/>
    </row>
    <row r="55" spans="1:8" ht="14.25" customHeight="1">
      <c r="A55" s="219">
        <v>620000</v>
      </c>
      <c r="B55" s="162" t="s">
        <v>311</v>
      </c>
      <c r="C55" s="194">
        <f>SUM(C56:C57)</f>
        <v>6881727.9799999995</v>
      </c>
      <c r="D55" s="194">
        <f>SUM(D56:D57)</f>
        <v>-41496.98000000004</v>
      </c>
      <c r="E55" s="194">
        <f>SUM(E56:E57)</f>
        <v>6840231</v>
      </c>
      <c r="F55" s="281">
        <f t="shared" si="1"/>
        <v>99.39699767092509</v>
      </c>
      <c r="H55" s="1"/>
    </row>
    <row r="56" spans="1:8" ht="15.75" customHeight="1">
      <c r="A56" s="75">
        <v>621000</v>
      </c>
      <c r="B56" s="86" t="s">
        <v>518</v>
      </c>
      <c r="C56" s="68">
        <f>Finansiranje!C15</f>
        <v>6793227.9799999995</v>
      </c>
      <c r="D56" s="68">
        <f>Finansiranje!D15</f>
        <v>-41496.98000000004</v>
      </c>
      <c r="E56" s="68">
        <f>Finansiranje!E15</f>
        <v>6751731</v>
      </c>
      <c r="F56" s="284">
        <f t="shared" si="1"/>
        <v>99.38914194956844</v>
      </c>
      <c r="H56" s="1"/>
    </row>
    <row r="57" spans="1:8" ht="15.75" customHeight="1">
      <c r="A57" s="75">
        <v>628000</v>
      </c>
      <c r="B57" s="86" t="s">
        <v>513</v>
      </c>
      <c r="C57" s="68">
        <f>Finansiranje!C18</f>
        <v>88500</v>
      </c>
      <c r="D57" s="68">
        <f>Finansiranje!D18</f>
        <v>0</v>
      </c>
      <c r="E57" s="68">
        <f>Finansiranje!E18</f>
        <v>88500</v>
      </c>
      <c r="F57" s="284">
        <f t="shared" si="1"/>
        <v>100</v>
      </c>
      <c r="H57" s="1"/>
    </row>
    <row r="58" spans="1:8" ht="14.25" customHeight="1">
      <c r="A58" s="75"/>
      <c r="B58" s="114" t="s">
        <v>395</v>
      </c>
      <c r="C58" s="234">
        <f>C59-C62</f>
        <v>-3000</v>
      </c>
      <c r="D58" s="234">
        <f>D59-D62</f>
        <v>500</v>
      </c>
      <c r="E58" s="234">
        <f>E59-E62</f>
        <v>-2500</v>
      </c>
      <c r="F58" s="218">
        <f t="shared" si="1"/>
        <v>0</v>
      </c>
      <c r="H58" s="1"/>
    </row>
    <row r="59" spans="1:8" ht="14.25" customHeight="1">
      <c r="A59" s="219">
        <v>930000</v>
      </c>
      <c r="B59" s="162" t="s">
        <v>396</v>
      </c>
      <c r="C59" s="235">
        <f>SUM(C61)</f>
        <v>78000</v>
      </c>
      <c r="D59" s="235">
        <f>SUM(D61)</f>
        <v>-23000</v>
      </c>
      <c r="E59" s="235">
        <f>SUM(E61)</f>
        <v>55000</v>
      </c>
      <c r="F59" s="281">
        <f t="shared" si="1"/>
        <v>70.51282051282051</v>
      </c>
      <c r="H59" s="1"/>
    </row>
    <row r="60" spans="1:8" ht="14.25" customHeight="1">
      <c r="A60" s="216">
        <v>931000</v>
      </c>
      <c r="B60" s="44" t="s">
        <v>397</v>
      </c>
      <c r="C60" s="270">
        <f>Finansiranje!C23</f>
        <v>0</v>
      </c>
      <c r="D60" s="270">
        <f>Finansiranje!D23</f>
        <v>0</v>
      </c>
      <c r="E60" s="270">
        <f>Finansiranje!E23</f>
        <v>0</v>
      </c>
      <c r="F60" s="284">
        <f t="shared" si="1"/>
        <v>0</v>
      </c>
      <c r="H60" s="1"/>
    </row>
    <row r="61" spans="1:8" ht="14.25" customHeight="1">
      <c r="A61" s="216">
        <v>938000</v>
      </c>
      <c r="B61" s="86" t="s">
        <v>458</v>
      </c>
      <c r="C61" s="184">
        <f>Finansiranje!C24</f>
        <v>78000</v>
      </c>
      <c r="D61" s="184">
        <f>Finansiranje!D24</f>
        <v>-23000</v>
      </c>
      <c r="E61" s="184">
        <f>Finansiranje!E24</f>
        <v>55000</v>
      </c>
      <c r="F61" s="284">
        <f t="shared" si="1"/>
        <v>70.51282051282051</v>
      </c>
      <c r="H61" s="1"/>
    </row>
    <row r="62" spans="1:8" ht="14.25" customHeight="1">
      <c r="A62" s="219">
        <v>630000</v>
      </c>
      <c r="B62" s="162" t="s">
        <v>398</v>
      </c>
      <c r="C62" s="194">
        <f>SUM(C63:C64)</f>
        <v>81000</v>
      </c>
      <c r="D62" s="194">
        <f>SUM(D63:D64)</f>
        <v>-23500</v>
      </c>
      <c r="E62" s="194">
        <f>SUM(E63:E64)</f>
        <v>57500</v>
      </c>
      <c r="F62" s="281">
        <f t="shared" si="1"/>
        <v>70.98765432098766</v>
      </c>
      <c r="H62" s="1"/>
    </row>
    <row r="63" spans="1:8" ht="14.25" customHeight="1">
      <c r="A63" s="75">
        <v>631000</v>
      </c>
      <c r="B63" s="86" t="s">
        <v>399</v>
      </c>
      <c r="C63" s="68">
        <f>Finansiranje!C28</f>
        <v>3000</v>
      </c>
      <c r="D63" s="68">
        <f>Finansiranje!D28</f>
        <v>0</v>
      </c>
      <c r="E63" s="68">
        <f>Finansiranje!E28</f>
        <v>3000</v>
      </c>
      <c r="F63" s="284">
        <f t="shared" si="1"/>
        <v>100</v>
      </c>
      <c r="H63" s="1"/>
    </row>
    <row r="64" spans="1:8" ht="14.25" customHeight="1">
      <c r="A64" s="75">
        <v>638000</v>
      </c>
      <c r="B64" s="86" t="s">
        <v>406</v>
      </c>
      <c r="C64" s="68">
        <f>Finansiranje!C30</f>
        <v>78000</v>
      </c>
      <c r="D64" s="68">
        <f>Finansiranje!D30</f>
        <v>-23500</v>
      </c>
      <c r="E64" s="68">
        <f>Finansiranje!E30</f>
        <v>54500</v>
      </c>
      <c r="F64" s="284">
        <f t="shared" si="1"/>
        <v>69.87179487179486</v>
      </c>
      <c r="H64" s="1"/>
    </row>
    <row r="65" spans="1:8" ht="21.75" customHeight="1">
      <c r="A65" s="75"/>
      <c r="B65" s="209" t="s">
        <v>401</v>
      </c>
      <c r="C65" s="234">
        <f>Finansiranje!C33</f>
        <v>499381.85</v>
      </c>
      <c r="D65" s="234">
        <f>Finansiranje!D33</f>
        <v>119210.15</v>
      </c>
      <c r="E65" s="234">
        <f>Finansiranje!E33</f>
        <v>618592</v>
      </c>
      <c r="F65" s="218">
        <f t="shared" si="1"/>
        <v>123.87154238785412</v>
      </c>
      <c r="H65" s="1"/>
    </row>
    <row r="66" spans="1:8" ht="20.25" customHeight="1" thickBot="1">
      <c r="A66" s="217"/>
      <c r="B66" s="221" t="s">
        <v>400</v>
      </c>
      <c r="C66" s="210">
        <f>C45+C46</f>
        <v>0</v>
      </c>
      <c r="D66" s="210">
        <f>D45+D46</f>
        <v>0</v>
      </c>
      <c r="E66" s="210">
        <f>E45+E46</f>
        <v>0</v>
      </c>
      <c r="F66" s="495" t="s">
        <v>322</v>
      </c>
      <c r="H66" s="1"/>
    </row>
    <row r="67" spans="1:6" ht="18" customHeight="1" thickTop="1">
      <c r="A67" s="144"/>
      <c r="B67" s="142"/>
      <c r="C67" s="145"/>
      <c r="D67" s="145"/>
      <c r="E67" s="145"/>
      <c r="F67" s="145"/>
    </row>
    <row r="68" spans="1:6" ht="17.25" customHeight="1">
      <c r="A68" s="3"/>
      <c r="B68" s="142"/>
      <c r="C68" s="142"/>
      <c r="D68" s="142"/>
      <c r="E68" s="142"/>
      <c r="F68" s="142"/>
    </row>
    <row r="69" spans="1:6" ht="2.25" customHeight="1" hidden="1">
      <c r="A69" s="3"/>
      <c r="B69" s="142" t="s">
        <v>570</v>
      </c>
      <c r="C69" s="142">
        <f>C6+C13+C18+C20+C37+C48+C53+C59+C65</f>
        <v>21234381.85</v>
      </c>
      <c r="D69" s="142">
        <f>D6+D13+D18+D20+D37+D48+D53+D59+D65</f>
        <v>1956697.15</v>
      </c>
      <c r="E69" s="142">
        <f>E6+E13+E18+E20+E37+E48+E53+E59+E65</f>
        <v>23191079</v>
      </c>
      <c r="F69" s="142"/>
    </row>
    <row r="70" spans="1:9" ht="16.5" customHeight="1" hidden="1">
      <c r="A70" s="3"/>
      <c r="B70" s="342" t="s">
        <v>571</v>
      </c>
      <c r="C70" s="142">
        <f>C23+C32+C34+C41+C50+C55+C62</f>
        <v>21234381.85</v>
      </c>
      <c r="D70" s="142">
        <f>D23+D32+D34+D41+D50+D55+D62</f>
        <v>1956697.15</v>
      </c>
      <c r="E70" s="142">
        <f>E23+E32+E34+E41+E50+E55+E62</f>
        <v>23191079</v>
      </c>
      <c r="F70" s="142"/>
      <c r="I70" s="1"/>
    </row>
    <row r="71" spans="1:6" ht="16.5" customHeight="1" hidden="1">
      <c r="A71" s="4"/>
      <c r="C71" s="145"/>
      <c r="D71" s="145"/>
      <c r="E71" s="145"/>
      <c r="F71" s="145"/>
    </row>
    <row r="72" spans="1:5" ht="15.75" customHeight="1" hidden="1">
      <c r="A72" s="145"/>
      <c r="B72" s="145" t="s">
        <v>572</v>
      </c>
      <c r="C72" s="145">
        <f>Org!E502</f>
        <v>21234381.849999998</v>
      </c>
      <c r="D72" s="145">
        <f>Org!F502</f>
        <v>1956697.15</v>
      </c>
      <c r="E72" s="145">
        <f>Org!G502</f>
        <v>23191079</v>
      </c>
    </row>
    <row r="73" spans="1:2" ht="12.75">
      <c r="A73" s="145"/>
      <c r="B73" s="145"/>
    </row>
    <row r="74" spans="1:6" ht="17.25" customHeight="1">
      <c r="A74" s="145"/>
      <c r="B74" s="145"/>
      <c r="C74" s="145"/>
      <c r="D74" s="145"/>
      <c r="E74" s="145"/>
      <c r="F74" s="145"/>
    </row>
    <row r="75" spans="1:6" ht="12.75">
      <c r="A75" s="145"/>
      <c r="B75" s="145"/>
      <c r="C75" s="145"/>
      <c r="D75" s="145"/>
      <c r="E75" s="145"/>
      <c r="F75" s="145"/>
    </row>
    <row r="76" spans="1:6" ht="12.75">
      <c r="A76" s="145"/>
      <c r="B76" s="145"/>
      <c r="C76" s="146"/>
      <c r="D76" s="146"/>
      <c r="E76" s="146"/>
      <c r="F76" s="146"/>
    </row>
    <row r="77" spans="1:2" ht="12.75">
      <c r="A77" s="145"/>
      <c r="B77" s="145"/>
    </row>
    <row r="78" spans="1:2" ht="23.25" customHeight="1">
      <c r="A78" s="145"/>
      <c r="B78" s="145"/>
    </row>
    <row r="79" spans="1:2" ht="16.5" customHeight="1">
      <c r="A79" s="145"/>
      <c r="B79" s="145"/>
    </row>
    <row r="80" spans="1:2" ht="12.75">
      <c r="A80" s="145"/>
      <c r="B80" s="145"/>
    </row>
    <row r="81" spans="1:2" ht="12.75">
      <c r="A81" s="145"/>
      <c r="B81" s="145"/>
    </row>
    <row r="82" spans="1:2" ht="15" customHeight="1">
      <c r="A82" s="145"/>
      <c r="B82" s="145"/>
    </row>
    <row r="83" spans="1:2" ht="12.75">
      <c r="A83" s="145"/>
      <c r="B83" s="145"/>
    </row>
    <row r="84" spans="1:2" ht="26.25" customHeight="1">
      <c r="A84" s="145"/>
      <c r="B84" s="145"/>
    </row>
    <row r="85" spans="1:2" ht="12.75">
      <c r="A85" s="145"/>
      <c r="B85" s="145"/>
    </row>
    <row r="86" spans="1:2" ht="12.75">
      <c r="A86" s="145"/>
      <c r="B86" s="145"/>
    </row>
    <row r="87" spans="1:2" ht="12.75">
      <c r="A87" s="145"/>
      <c r="B87" s="145"/>
    </row>
    <row r="88" spans="1:2" ht="12.75">
      <c r="A88" s="145"/>
      <c r="B88" s="145"/>
    </row>
    <row r="89" spans="1:2" ht="12.75">
      <c r="A89" s="145"/>
      <c r="B89" s="145"/>
    </row>
    <row r="90" spans="1:2" ht="12.75">
      <c r="A90" s="145"/>
      <c r="B90" s="145"/>
    </row>
    <row r="91" spans="1:2" ht="15.75" customHeight="1">
      <c r="A91" s="145"/>
      <c r="B91" s="145"/>
    </row>
    <row r="92" spans="1:7" ht="12.75">
      <c r="A92" s="145"/>
      <c r="B92" s="145"/>
      <c r="G92" s="2"/>
    </row>
    <row r="93" spans="1:2" ht="12.75">
      <c r="A93" s="145"/>
      <c r="B93" s="145"/>
    </row>
    <row r="94" spans="1:2" ht="12.75">
      <c r="A94" s="145"/>
      <c r="B94" s="145"/>
    </row>
    <row r="95" spans="1:2" ht="12.75" customHeight="1">
      <c r="A95" s="145"/>
      <c r="B95" s="145"/>
    </row>
    <row r="96" spans="1:2" ht="12.75">
      <c r="A96" s="145"/>
      <c r="B96" s="145"/>
    </row>
    <row r="97" spans="1:2" ht="12.75">
      <c r="A97" s="145"/>
      <c r="B97" s="145"/>
    </row>
    <row r="98" spans="1:2" ht="12.75">
      <c r="A98" s="145"/>
      <c r="B98" s="145"/>
    </row>
    <row r="99" spans="1:2" ht="12.75">
      <c r="A99" s="145"/>
      <c r="B99" s="145"/>
    </row>
    <row r="100" spans="1:2" ht="12.75">
      <c r="A100" s="145"/>
      <c r="B100" s="145"/>
    </row>
    <row r="101" spans="1:2" ht="12.75">
      <c r="A101" s="145"/>
      <c r="B101" s="145"/>
    </row>
    <row r="102" spans="1:2" ht="12.75">
      <c r="A102" s="145"/>
      <c r="B102" s="145"/>
    </row>
    <row r="103" spans="1:2" ht="12.75">
      <c r="A103" s="145"/>
      <c r="B103" s="145"/>
    </row>
    <row r="104" spans="1:2" ht="12.75">
      <c r="A104" s="145"/>
      <c r="B104" s="145"/>
    </row>
    <row r="105" spans="1:2" ht="12.75">
      <c r="A105" s="145"/>
      <c r="B105" s="145"/>
    </row>
    <row r="106" spans="1:2" ht="12.75">
      <c r="A106" s="145"/>
      <c r="B106" s="145"/>
    </row>
    <row r="107" spans="1:2" ht="12.75">
      <c r="A107" s="145"/>
      <c r="B107" s="145"/>
    </row>
    <row r="108" spans="1:8" s="143" customFormat="1" ht="12.75">
      <c r="A108" s="145"/>
      <c r="B108" s="145"/>
      <c r="G108"/>
      <c r="H108"/>
    </row>
    <row r="109" spans="1:8" s="143" customFormat="1" ht="12.75">
      <c r="A109" s="145"/>
      <c r="B109" s="145"/>
      <c r="G109"/>
      <c r="H109"/>
    </row>
    <row r="110" spans="1:8" s="143" customFormat="1" ht="12.75">
      <c r="A110" s="145"/>
      <c r="B110" s="145"/>
      <c r="G110"/>
      <c r="H110"/>
    </row>
    <row r="111" spans="1:8" s="143" customFormat="1" ht="12.75">
      <c r="A111" s="145"/>
      <c r="B111" s="145"/>
      <c r="G111"/>
      <c r="H111"/>
    </row>
    <row r="112" spans="1:8" s="143" customFormat="1" ht="12.75">
      <c r="A112" s="145"/>
      <c r="B112" s="145"/>
      <c r="G112"/>
      <c r="H112"/>
    </row>
    <row r="113" spans="1:8" s="143" customFormat="1" ht="12.75">
      <c r="A113" s="145"/>
      <c r="B113" s="145"/>
      <c r="G113"/>
      <c r="H113"/>
    </row>
    <row r="114" spans="1:8" s="143" customFormat="1" ht="12.75">
      <c r="A114" s="145"/>
      <c r="B114" s="145"/>
      <c r="G114"/>
      <c r="H114"/>
    </row>
    <row r="115" spans="1:8" s="143" customFormat="1" ht="12.75">
      <c r="A115" s="145"/>
      <c r="B115" s="145"/>
      <c r="G115"/>
      <c r="H115"/>
    </row>
    <row r="116" spans="1:8" s="143" customFormat="1" ht="12.75">
      <c r="A116" s="145"/>
      <c r="B116" s="145"/>
      <c r="G116"/>
      <c r="H116"/>
    </row>
    <row r="117" spans="1:8" s="143" customFormat="1" ht="12.75">
      <c r="A117" s="145"/>
      <c r="B117" s="145"/>
      <c r="G117"/>
      <c r="H117"/>
    </row>
    <row r="118" spans="1:8" s="143" customFormat="1" ht="12.75">
      <c r="A118" s="145"/>
      <c r="B118" s="145"/>
      <c r="G118"/>
      <c r="H118"/>
    </row>
    <row r="119" spans="1:8" s="143" customFormat="1" ht="12.75">
      <c r="A119" s="145"/>
      <c r="B119" s="145"/>
      <c r="G119"/>
      <c r="H119"/>
    </row>
    <row r="120" spans="1:8" s="143" customFormat="1" ht="12.75">
      <c r="A120" s="145"/>
      <c r="B120" s="145"/>
      <c r="G120"/>
      <c r="H120"/>
    </row>
    <row r="121" spans="1:8" s="143" customFormat="1" ht="12.75">
      <c r="A121" s="145"/>
      <c r="B121" s="145"/>
      <c r="G121"/>
      <c r="H121"/>
    </row>
    <row r="122" spans="1:8" s="143" customFormat="1" ht="12.75">
      <c r="A122" s="145"/>
      <c r="B122" s="145"/>
      <c r="G122"/>
      <c r="H122"/>
    </row>
    <row r="123" spans="1:8" s="143" customFormat="1" ht="12.75">
      <c r="A123" s="145"/>
      <c r="B123" s="145"/>
      <c r="G123"/>
      <c r="H123"/>
    </row>
    <row r="124" spans="1:8" s="143" customFormat="1" ht="12.75">
      <c r="A124" s="145"/>
      <c r="B124" s="145"/>
      <c r="G124"/>
      <c r="H124"/>
    </row>
    <row r="125" spans="1:8" s="143" customFormat="1" ht="12.75">
      <c r="A125" s="145"/>
      <c r="B125" s="145"/>
      <c r="G125"/>
      <c r="H125"/>
    </row>
    <row r="126" spans="1:8" s="143" customFormat="1" ht="12.75">
      <c r="A126" s="145"/>
      <c r="B126" s="145"/>
      <c r="G126"/>
      <c r="H126"/>
    </row>
    <row r="127" spans="1:8" s="143" customFormat="1" ht="12.75">
      <c r="A127" s="145"/>
      <c r="B127" s="145"/>
      <c r="G127"/>
      <c r="H127"/>
    </row>
    <row r="128" spans="1:8" s="143" customFormat="1" ht="12.75">
      <c r="A128" s="145"/>
      <c r="B128" s="145"/>
      <c r="G128"/>
      <c r="H128"/>
    </row>
    <row r="129" spans="1:8" s="143" customFormat="1" ht="12.75">
      <c r="A129" s="145"/>
      <c r="B129" s="145"/>
      <c r="G129"/>
      <c r="H129"/>
    </row>
    <row r="130" spans="1:8" s="143" customFormat="1" ht="12.75">
      <c r="A130" s="145"/>
      <c r="B130" s="145"/>
      <c r="G130"/>
      <c r="H130"/>
    </row>
    <row r="131" spans="1:8" s="143" customFormat="1" ht="12.75">
      <c r="A131" s="145"/>
      <c r="B131" s="145"/>
      <c r="G131"/>
      <c r="H131"/>
    </row>
    <row r="132" spans="1:8" s="143" customFormat="1" ht="12.75">
      <c r="A132" s="145"/>
      <c r="B132" s="145"/>
      <c r="G132"/>
      <c r="H132"/>
    </row>
    <row r="133" spans="1:8" s="143" customFormat="1" ht="12.75">
      <c r="A133" s="145"/>
      <c r="B133" s="145"/>
      <c r="G133"/>
      <c r="H133"/>
    </row>
    <row r="134" spans="1:8" s="143" customFormat="1" ht="12.75">
      <c r="A134" s="145"/>
      <c r="B134" s="145"/>
      <c r="G134"/>
      <c r="H134"/>
    </row>
    <row r="135" spans="1:8" s="143" customFormat="1" ht="12.75">
      <c r="A135" s="145"/>
      <c r="B135" s="145"/>
      <c r="G135"/>
      <c r="H135"/>
    </row>
    <row r="136" spans="1:8" s="143" customFormat="1" ht="12.75">
      <c r="A136" s="145"/>
      <c r="B136" s="145"/>
      <c r="G136"/>
      <c r="H136"/>
    </row>
    <row r="137" spans="1:8" s="143" customFormat="1" ht="12.75">
      <c r="A137" s="145"/>
      <c r="B137" s="145"/>
      <c r="G137"/>
      <c r="H137"/>
    </row>
    <row r="138" spans="1:8" s="143" customFormat="1" ht="12.75">
      <c r="A138" s="145"/>
      <c r="B138" s="145"/>
      <c r="G138"/>
      <c r="H138"/>
    </row>
    <row r="139" spans="1:8" s="143" customFormat="1" ht="12.75">
      <c r="A139" s="145"/>
      <c r="B139" s="145"/>
      <c r="G139"/>
      <c r="H139"/>
    </row>
    <row r="140" spans="1:6" ht="12.75">
      <c r="A140" s="145"/>
      <c r="B140" s="3"/>
      <c r="C140" s="145"/>
      <c r="D140" s="145"/>
      <c r="E140" s="145"/>
      <c r="F140" s="145"/>
    </row>
    <row r="141" spans="1:6" ht="12.75">
      <c r="A141" s="4"/>
      <c r="B141" s="3"/>
      <c r="C141" s="145"/>
      <c r="D141" s="145"/>
      <c r="E141" s="145"/>
      <c r="F141" s="145"/>
    </row>
    <row r="142" spans="1:6" ht="12.75">
      <c r="A142" s="4"/>
      <c r="B142" s="3"/>
      <c r="C142" s="145"/>
      <c r="D142" s="145"/>
      <c r="E142" s="145"/>
      <c r="F142" s="145"/>
    </row>
    <row r="143" spans="1:6" ht="12.75">
      <c r="A143" s="4"/>
      <c r="B143" s="3"/>
      <c r="C143" s="145"/>
      <c r="D143" s="145"/>
      <c r="E143" s="145"/>
      <c r="F143" s="145"/>
    </row>
    <row r="144" spans="1:6" ht="12.75">
      <c r="A144" s="4"/>
      <c r="B144" s="3"/>
      <c r="C144" s="145"/>
      <c r="D144" s="145"/>
      <c r="E144" s="145"/>
      <c r="F144" s="145"/>
    </row>
    <row r="145" spans="1:6" ht="12.75">
      <c r="A145" s="4"/>
      <c r="B145" s="3"/>
      <c r="C145" s="145"/>
      <c r="D145" s="145"/>
      <c r="E145" s="145"/>
      <c r="F145" s="145"/>
    </row>
    <row r="146" spans="1:6" ht="12.75">
      <c r="A146" s="4"/>
      <c r="B146" s="3"/>
      <c r="C146" s="145"/>
      <c r="D146" s="145"/>
      <c r="E146" s="145"/>
      <c r="F146" s="145"/>
    </row>
    <row r="147" spans="1:6" ht="12.75">
      <c r="A147" s="4"/>
      <c r="B147" s="3"/>
      <c r="C147" s="145"/>
      <c r="D147" s="145"/>
      <c r="E147" s="145"/>
      <c r="F147" s="145"/>
    </row>
    <row r="148" spans="1:6" ht="12.75">
      <c r="A148" s="4"/>
      <c r="B148" s="3"/>
      <c r="C148" s="145"/>
      <c r="D148" s="145"/>
      <c r="E148" s="145"/>
      <c r="F148" s="145"/>
    </row>
    <row r="149" spans="1:6" ht="12.75">
      <c r="A149" s="4"/>
      <c r="B149" s="3"/>
      <c r="C149" s="145"/>
      <c r="D149" s="145"/>
      <c r="E149" s="145"/>
      <c r="F149" s="145"/>
    </row>
    <row r="150" spans="1:6" ht="12.75">
      <c r="A150" s="4"/>
      <c r="B150" s="3"/>
      <c r="C150" s="145"/>
      <c r="D150" s="145"/>
      <c r="E150" s="145"/>
      <c r="F150" s="145"/>
    </row>
    <row r="151" spans="1:6" ht="12.75">
      <c r="A151" s="4"/>
      <c r="B151" s="3"/>
      <c r="C151" s="145"/>
      <c r="D151" s="145"/>
      <c r="E151" s="145"/>
      <c r="F151" s="145"/>
    </row>
    <row r="152" spans="1:7" s="143" customFormat="1" ht="12.75">
      <c r="A152" s="4"/>
      <c r="B152" s="3"/>
      <c r="C152" s="145"/>
      <c r="D152" s="145"/>
      <c r="E152" s="145"/>
      <c r="F152" s="145"/>
      <c r="G152"/>
    </row>
    <row r="153" spans="1:7" s="143" customFormat="1" ht="12.75">
      <c r="A153" s="4"/>
      <c r="B153" s="3"/>
      <c r="C153" s="145"/>
      <c r="D153" s="145"/>
      <c r="E153" s="145"/>
      <c r="F153" s="145"/>
      <c r="G153"/>
    </row>
    <row r="154" spans="1:7" s="143" customFormat="1" ht="12.75">
      <c r="A154" s="4"/>
      <c r="B154" s="3"/>
      <c r="C154" s="145"/>
      <c r="D154" s="145"/>
      <c r="E154" s="145"/>
      <c r="F154" s="145"/>
      <c r="G154"/>
    </row>
    <row r="155" spans="1:7" s="143" customFormat="1" ht="12.75">
      <c r="A155" s="4"/>
      <c r="B155" s="3"/>
      <c r="C155" s="145"/>
      <c r="D155" s="145"/>
      <c r="E155" s="145"/>
      <c r="F155" s="145"/>
      <c r="G155"/>
    </row>
    <row r="156" spans="1:7" s="143" customFormat="1" ht="12.75">
      <c r="A156" s="4"/>
      <c r="B156" s="3"/>
      <c r="C156" s="145"/>
      <c r="D156" s="145"/>
      <c r="E156" s="145"/>
      <c r="F156" s="145"/>
      <c r="G156"/>
    </row>
    <row r="157" spans="1:7" s="143" customFormat="1" ht="12.75">
      <c r="A157" s="4"/>
      <c r="B157" s="3"/>
      <c r="C157" s="145"/>
      <c r="D157" s="145"/>
      <c r="E157" s="145"/>
      <c r="F157" s="145"/>
      <c r="G157"/>
    </row>
    <row r="158" spans="1:7" s="143" customFormat="1" ht="12.75">
      <c r="A158" s="4"/>
      <c r="B158" s="3"/>
      <c r="C158" s="145"/>
      <c r="D158" s="145"/>
      <c r="E158" s="145"/>
      <c r="F158" s="145"/>
      <c r="G158"/>
    </row>
    <row r="159" spans="1:7" s="143" customFormat="1" ht="12.75">
      <c r="A159" s="4"/>
      <c r="B159" s="3"/>
      <c r="C159" s="145"/>
      <c r="D159" s="145"/>
      <c r="E159" s="145"/>
      <c r="F159" s="145"/>
      <c r="G159"/>
    </row>
    <row r="160" spans="1:7" s="143" customFormat="1" ht="12.75">
      <c r="A160" s="4"/>
      <c r="B160" s="3"/>
      <c r="C160" s="145"/>
      <c r="D160" s="145"/>
      <c r="E160" s="145"/>
      <c r="F160" s="145"/>
      <c r="G160"/>
    </row>
    <row r="161" spans="1:7" s="143" customFormat="1" ht="12.75">
      <c r="A161" s="4"/>
      <c r="B161" s="3"/>
      <c r="C161" s="145"/>
      <c r="D161" s="145"/>
      <c r="E161" s="145"/>
      <c r="F161" s="145"/>
      <c r="G161"/>
    </row>
    <row r="162" spans="1:7" s="143" customFormat="1" ht="12.75">
      <c r="A162" s="4"/>
      <c r="B162" s="3"/>
      <c r="C162" s="145"/>
      <c r="D162" s="145"/>
      <c r="E162" s="145"/>
      <c r="F162" s="145"/>
      <c r="G162"/>
    </row>
    <row r="163" spans="1:7" s="143" customFormat="1" ht="12.75">
      <c r="A163" s="4"/>
      <c r="B163" s="3"/>
      <c r="C163" s="145"/>
      <c r="D163" s="145"/>
      <c r="E163" s="145"/>
      <c r="F163" s="145"/>
      <c r="G163"/>
    </row>
    <row r="164" spans="1:7" s="143" customFormat="1" ht="12.75">
      <c r="A164" s="4"/>
      <c r="B164" s="3"/>
      <c r="C164" s="145"/>
      <c r="D164" s="145"/>
      <c r="E164" s="145"/>
      <c r="F164" s="145"/>
      <c r="G164"/>
    </row>
    <row r="165" spans="1:7" s="143" customFormat="1" ht="12.75">
      <c r="A165" s="4"/>
      <c r="B165" s="3"/>
      <c r="C165" s="145"/>
      <c r="D165" s="145"/>
      <c r="E165" s="145"/>
      <c r="F165" s="145"/>
      <c r="G165"/>
    </row>
    <row r="166" spans="1:7" s="143" customFormat="1" ht="12.75">
      <c r="A166" s="4"/>
      <c r="B166"/>
      <c r="C166" s="145"/>
      <c r="D166" s="145"/>
      <c r="E166" s="145"/>
      <c r="F166" s="145"/>
      <c r="G166"/>
    </row>
  </sheetData>
  <sheetProtection/>
  <mergeCells count="7">
    <mergeCell ref="A1:F1"/>
    <mergeCell ref="A2:A3"/>
    <mergeCell ref="B2:B3"/>
    <mergeCell ref="E2:E3"/>
    <mergeCell ref="C2:C3"/>
    <mergeCell ref="F2:F3"/>
    <mergeCell ref="D2:D3"/>
  </mergeCells>
  <printOptions horizontalCentered="1"/>
  <pageMargins left="0.15748031496062992" right="0.15748031496062992" top="0.35433070866141736" bottom="0.35" header="0.2755905511811024" footer="0.15748031496062992"/>
  <pageSetup horizontalDpi="600" verticalDpi="600" orientation="landscape" paperSize="9" scale="105" r:id="rId1"/>
  <headerFooter alignWithMargins="0">
    <oddFooter>&amp;R&amp;P</oddFooter>
  </headerFooter>
  <rowBreaks count="2" manualBreakCount="2">
    <brk id="31" max="5" man="1"/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12" sqref="C112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54.8515625" style="0" customWidth="1"/>
    <col min="4" max="4" width="15.00390625" style="143" customWidth="1"/>
    <col min="5" max="5" width="16.140625" style="143" customWidth="1"/>
    <col min="6" max="6" width="14.421875" style="143" customWidth="1"/>
    <col min="7" max="7" width="9.140625" style="143" customWidth="1"/>
    <col min="8" max="8" width="9.7109375" style="143" customWidth="1"/>
    <col min="9" max="9" width="5.421875" style="0" customWidth="1"/>
    <col min="10" max="10" width="14.00390625" style="382" customWidth="1"/>
    <col min="11" max="11" width="16.7109375" style="0" customWidth="1"/>
    <col min="12" max="12" width="14.8515625" style="0" customWidth="1"/>
    <col min="13" max="13" width="11.00390625" style="0" bestFit="1" customWidth="1"/>
  </cols>
  <sheetData>
    <row r="1" spans="1:8" ht="39.75" customHeight="1" thickBot="1">
      <c r="A1" s="528" t="s">
        <v>542</v>
      </c>
      <c r="B1" s="528"/>
      <c r="C1" s="528"/>
      <c r="D1" s="528"/>
      <c r="E1" s="528"/>
      <c r="F1" s="528"/>
      <c r="G1" s="528"/>
      <c r="H1" s="528"/>
    </row>
    <row r="2" spans="1:8" ht="18.75" customHeight="1" thickTop="1">
      <c r="A2" s="541" t="s">
        <v>63</v>
      </c>
      <c r="B2" s="531" t="s">
        <v>297</v>
      </c>
      <c r="C2" s="531" t="s">
        <v>232</v>
      </c>
      <c r="D2" s="537" t="s">
        <v>477</v>
      </c>
      <c r="E2" s="533" t="s">
        <v>539</v>
      </c>
      <c r="F2" s="533" t="s">
        <v>540</v>
      </c>
      <c r="G2" s="533" t="s">
        <v>118</v>
      </c>
      <c r="H2" s="539" t="s">
        <v>130</v>
      </c>
    </row>
    <row r="3" spans="1:8" ht="44.25" customHeight="1">
      <c r="A3" s="542"/>
      <c r="B3" s="532"/>
      <c r="C3" s="532"/>
      <c r="D3" s="538"/>
      <c r="E3" s="534"/>
      <c r="F3" s="534"/>
      <c r="G3" s="534"/>
      <c r="H3" s="540"/>
    </row>
    <row r="4" spans="1:10" s="5" customFormat="1" ht="12.75" customHeight="1">
      <c r="A4" s="289">
        <v>1</v>
      </c>
      <c r="B4" s="109">
        <v>2</v>
      </c>
      <c r="C4" s="109">
        <v>3</v>
      </c>
      <c r="D4" s="109">
        <v>4</v>
      </c>
      <c r="E4" s="109" t="s">
        <v>547</v>
      </c>
      <c r="F4" s="109">
        <v>6</v>
      </c>
      <c r="G4" s="109" t="s">
        <v>544</v>
      </c>
      <c r="H4" s="110">
        <v>8</v>
      </c>
      <c r="J4" s="383"/>
    </row>
    <row r="5" spans="1:11" ht="19.5" customHeight="1">
      <c r="A5" s="290"/>
      <c r="B5" s="25"/>
      <c r="C5" s="159" t="s">
        <v>298</v>
      </c>
      <c r="D5" s="160">
        <f>D6+D21+D65+D76</f>
        <v>13552000</v>
      </c>
      <c r="E5" s="160">
        <f>E6+E21+E65+E76</f>
        <v>1770487</v>
      </c>
      <c r="F5" s="160">
        <f>F6+F21+F65+F76</f>
        <v>15322487</v>
      </c>
      <c r="G5" s="160">
        <f>IF(D5&gt;0,F5/D5*100,0)</f>
        <v>113.0643963990555</v>
      </c>
      <c r="H5" s="213">
        <f aca="true" t="shared" si="0" ref="H5:H36">F5/$F$95*100</f>
        <v>98.74335322465552</v>
      </c>
      <c r="I5" s="1"/>
      <c r="K5" s="1"/>
    </row>
    <row r="6" spans="1:9" ht="15" customHeight="1">
      <c r="A6" s="291">
        <v>710000</v>
      </c>
      <c r="B6" s="23"/>
      <c r="C6" s="54" t="s">
        <v>249</v>
      </c>
      <c r="D6" s="66">
        <f>D7+D9+D12+D14+D17+D19</f>
        <v>10030000</v>
      </c>
      <c r="E6" s="66">
        <f>E7+E9+E12+E14+E17+E19</f>
        <v>173500</v>
      </c>
      <c r="F6" s="66">
        <f>F7+F9+F12+F14+F17+F19</f>
        <v>10203500</v>
      </c>
      <c r="G6" s="66">
        <f aca="true" t="shared" si="1" ref="G6:G72">IF(D6&gt;0,F6/D6*100,0)</f>
        <v>101.72981056829511</v>
      </c>
      <c r="H6" s="405">
        <f t="shared" si="0"/>
        <v>65.754848062705</v>
      </c>
      <c r="I6" s="1"/>
    </row>
    <row r="7" spans="1:9" ht="14.25" customHeight="1">
      <c r="A7" s="292">
        <v>711100</v>
      </c>
      <c r="B7" s="31"/>
      <c r="C7" s="80" t="s">
        <v>210</v>
      </c>
      <c r="D7" s="87">
        <f>SUM(D8)</f>
        <v>3000</v>
      </c>
      <c r="E7" s="87">
        <f>SUM(E8)</f>
        <v>-2500</v>
      </c>
      <c r="F7" s="87">
        <f>SUM(F8)</f>
        <v>500</v>
      </c>
      <c r="G7" s="87">
        <f t="shared" si="1"/>
        <v>16.666666666666664</v>
      </c>
      <c r="H7" s="406">
        <f t="shared" si="0"/>
        <v>0.0032221712188320183</v>
      </c>
      <c r="I7" s="1"/>
    </row>
    <row r="8" spans="1:9" ht="14.25" customHeight="1">
      <c r="A8" s="293">
        <v>711113</v>
      </c>
      <c r="B8" s="17"/>
      <c r="C8" s="92" t="s">
        <v>250</v>
      </c>
      <c r="D8" s="68">
        <v>3000</v>
      </c>
      <c r="E8" s="68">
        <f aca="true" t="shared" si="2" ref="E8:E64">F8-D8</f>
        <v>-2500</v>
      </c>
      <c r="F8" s="68">
        <v>500</v>
      </c>
      <c r="G8" s="269">
        <f t="shared" si="1"/>
        <v>16.666666666666664</v>
      </c>
      <c r="H8" s="288">
        <f t="shared" si="0"/>
        <v>0.0032221712188320183</v>
      </c>
      <c r="I8" s="1"/>
    </row>
    <row r="9" spans="1:11" ht="21" customHeight="1">
      <c r="A9" s="291">
        <v>713000</v>
      </c>
      <c r="B9" s="23"/>
      <c r="C9" s="26" t="s">
        <v>5</v>
      </c>
      <c r="D9" s="87">
        <f>SUM(D10:D11)</f>
        <v>1160000</v>
      </c>
      <c r="E9" s="87">
        <f>SUM(E10:E11)</f>
        <v>-95000</v>
      </c>
      <c r="F9" s="87">
        <f>SUM(F10:F11)</f>
        <v>1065000</v>
      </c>
      <c r="G9" s="87">
        <f t="shared" si="1"/>
        <v>91.8103448275862</v>
      </c>
      <c r="H9" s="406">
        <f t="shared" si="0"/>
        <v>6.8632246961122</v>
      </c>
      <c r="I9" s="1"/>
      <c r="K9" s="1"/>
    </row>
    <row r="10" spans="1:9" ht="14.25" customHeight="1">
      <c r="A10" s="293" t="s">
        <v>6</v>
      </c>
      <c r="B10" s="17"/>
      <c r="C10" s="27" t="s">
        <v>251</v>
      </c>
      <c r="D10" s="67">
        <v>165000</v>
      </c>
      <c r="E10" s="67">
        <f t="shared" si="2"/>
        <v>-10000</v>
      </c>
      <c r="F10" s="67">
        <v>155000</v>
      </c>
      <c r="G10" s="269">
        <f t="shared" si="1"/>
        <v>93.93939393939394</v>
      </c>
      <c r="H10" s="288">
        <f t="shared" si="0"/>
        <v>0.9988730778379257</v>
      </c>
      <c r="I10" s="1"/>
    </row>
    <row r="11" spans="1:9" ht="14.25" customHeight="1">
      <c r="A11" s="293" t="s">
        <v>7</v>
      </c>
      <c r="B11" s="17"/>
      <c r="C11" s="29" t="s">
        <v>8</v>
      </c>
      <c r="D11" s="67">
        <v>995000</v>
      </c>
      <c r="E11" s="67">
        <f t="shared" si="2"/>
        <v>-85000</v>
      </c>
      <c r="F11" s="67">
        <v>910000</v>
      </c>
      <c r="G11" s="269">
        <f t="shared" si="1"/>
        <v>91.4572864321608</v>
      </c>
      <c r="H11" s="288">
        <f t="shared" si="0"/>
        <v>5.864351618274274</v>
      </c>
      <c r="I11" s="1"/>
    </row>
    <row r="12" spans="1:9" ht="14.25" customHeight="1">
      <c r="A12" s="291">
        <v>714000</v>
      </c>
      <c r="B12" s="23"/>
      <c r="C12" s="26" t="s">
        <v>9</v>
      </c>
      <c r="D12" s="87">
        <f>SUM(D13:D13)</f>
        <v>350000</v>
      </c>
      <c r="E12" s="87">
        <f>SUM(E13:E13)</f>
        <v>-20000</v>
      </c>
      <c r="F12" s="87">
        <f>SUM(F13:F13)</f>
        <v>330000</v>
      </c>
      <c r="G12" s="87">
        <f t="shared" si="1"/>
        <v>94.28571428571428</v>
      </c>
      <c r="H12" s="406">
        <f t="shared" si="0"/>
        <v>2.126633004429132</v>
      </c>
      <c r="I12" s="1"/>
    </row>
    <row r="13" spans="1:9" ht="14.25" customHeight="1">
      <c r="A13" s="400" t="s">
        <v>475</v>
      </c>
      <c r="B13" s="23"/>
      <c r="C13" s="44" t="s">
        <v>424</v>
      </c>
      <c r="D13" s="68">
        <v>350000</v>
      </c>
      <c r="E13" s="68">
        <f t="shared" si="2"/>
        <v>-20000</v>
      </c>
      <c r="F13" s="68">
        <v>330000</v>
      </c>
      <c r="G13" s="269">
        <f t="shared" si="1"/>
        <v>94.28571428571428</v>
      </c>
      <c r="H13" s="288">
        <f t="shared" si="0"/>
        <v>2.126633004429132</v>
      </c>
      <c r="I13" s="1"/>
    </row>
    <row r="14" spans="1:9" ht="14.25" customHeight="1">
      <c r="A14" s="291">
        <v>715000</v>
      </c>
      <c r="B14" s="23"/>
      <c r="C14" s="26" t="s">
        <v>174</v>
      </c>
      <c r="D14" s="87">
        <f>SUM(D15:D16)</f>
        <v>55000</v>
      </c>
      <c r="E14" s="87">
        <f>SUM(E15:E16)</f>
        <v>-54000</v>
      </c>
      <c r="F14" s="87">
        <f>SUM(F15:F16)</f>
        <v>1000</v>
      </c>
      <c r="G14" s="87">
        <f t="shared" si="1"/>
        <v>1.8181818181818181</v>
      </c>
      <c r="H14" s="406">
        <f t="shared" si="0"/>
        <v>0.0064443424376640366</v>
      </c>
      <c r="I14" s="1"/>
    </row>
    <row r="15" spans="1:9" ht="14.25" customHeight="1">
      <c r="A15" s="294">
        <v>715110</v>
      </c>
      <c r="B15" s="37"/>
      <c r="C15" s="27" t="s">
        <v>10</v>
      </c>
      <c r="D15" s="67">
        <v>40000</v>
      </c>
      <c r="E15" s="67">
        <f t="shared" si="2"/>
        <v>-39000</v>
      </c>
      <c r="F15" s="67">
        <v>1000</v>
      </c>
      <c r="G15" s="269">
        <f t="shared" si="1"/>
        <v>2.5</v>
      </c>
      <c r="H15" s="288">
        <f t="shared" si="0"/>
        <v>0.0064443424376640366</v>
      </c>
      <c r="I15" s="381"/>
    </row>
    <row r="16" spans="1:9" ht="14.25" customHeight="1">
      <c r="A16" s="293">
        <v>715210</v>
      </c>
      <c r="B16" s="17"/>
      <c r="C16" s="29" t="s">
        <v>11</v>
      </c>
      <c r="D16" s="67">
        <v>15000</v>
      </c>
      <c r="E16" s="67">
        <f t="shared" si="2"/>
        <v>-15000</v>
      </c>
      <c r="F16" s="67">
        <v>0</v>
      </c>
      <c r="G16" s="269">
        <f t="shared" si="1"/>
        <v>0</v>
      </c>
      <c r="H16" s="288">
        <f t="shared" si="0"/>
        <v>0</v>
      </c>
      <c r="I16" s="1"/>
    </row>
    <row r="17" spans="1:9" ht="14.25" customHeight="1">
      <c r="A17" s="295">
        <v>717000</v>
      </c>
      <c r="B17" s="76"/>
      <c r="C17" s="79" t="s">
        <v>385</v>
      </c>
      <c r="D17" s="87">
        <f>SUM(D18)</f>
        <v>8450000</v>
      </c>
      <c r="E17" s="87">
        <f>SUM(E18)</f>
        <v>350000</v>
      </c>
      <c r="F17" s="87">
        <f>SUM(F18)</f>
        <v>8800000</v>
      </c>
      <c r="G17" s="87">
        <f t="shared" si="1"/>
        <v>104.14201183431953</v>
      </c>
      <c r="H17" s="406">
        <f t="shared" si="0"/>
        <v>56.71021345144352</v>
      </c>
      <c r="I17" s="1"/>
    </row>
    <row r="18" spans="1:9" ht="14.25" customHeight="1">
      <c r="A18" s="296">
        <v>717111</v>
      </c>
      <c r="B18" s="37"/>
      <c r="C18" s="29" t="s">
        <v>385</v>
      </c>
      <c r="D18" s="68">
        <v>8450000</v>
      </c>
      <c r="E18" s="68">
        <f t="shared" si="2"/>
        <v>350000</v>
      </c>
      <c r="F18" s="68">
        <v>8800000</v>
      </c>
      <c r="G18" s="269">
        <f t="shared" si="1"/>
        <v>104.14201183431953</v>
      </c>
      <c r="H18" s="288">
        <f t="shared" si="0"/>
        <v>56.71021345144352</v>
      </c>
      <c r="I18" s="1"/>
    </row>
    <row r="19" spans="1:9" ht="14.25" customHeight="1">
      <c r="A19" s="291">
        <v>719000</v>
      </c>
      <c r="B19" s="23"/>
      <c r="C19" s="26" t="s">
        <v>386</v>
      </c>
      <c r="D19" s="87">
        <f>SUM(D20)</f>
        <v>12000</v>
      </c>
      <c r="E19" s="87">
        <f>SUM(E20)</f>
        <v>-5000</v>
      </c>
      <c r="F19" s="87">
        <f>SUM(F20)</f>
        <v>7000</v>
      </c>
      <c r="G19" s="87">
        <f t="shared" si="1"/>
        <v>58.333333333333336</v>
      </c>
      <c r="H19" s="406">
        <f t="shared" si="0"/>
        <v>0.04511039706364826</v>
      </c>
      <c r="I19" s="1"/>
    </row>
    <row r="20" spans="1:9" ht="14.25" customHeight="1">
      <c r="A20" s="293">
        <v>719113</v>
      </c>
      <c r="B20" s="17"/>
      <c r="C20" s="27" t="s">
        <v>12</v>
      </c>
      <c r="D20" s="67">
        <v>12000</v>
      </c>
      <c r="E20" s="67">
        <f t="shared" si="2"/>
        <v>-5000</v>
      </c>
      <c r="F20" s="67">
        <v>7000</v>
      </c>
      <c r="G20" s="269">
        <f t="shared" si="1"/>
        <v>58.333333333333336</v>
      </c>
      <c r="H20" s="288">
        <f t="shared" si="0"/>
        <v>0.04511039706364826</v>
      </c>
      <c r="I20" s="1"/>
    </row>
    <row r="21" spans="1:11" ht="15" customHeight="1">
      <c r="A21" s="291">
        <v>720000</v>
      </c>
      <c r="B21" s="23"/>
      <c r="C21" s="54" t="s">
        <v>252</v>
      </c>
      <c r="D21" s="66">
        <f>D22+D29+D61+D63</f>
        <v>2544500</v>
      </c>
      <c r="E21" s="66">
        <f>E22+E29+E61+E63</f>
        <v>-97921</v>
      </c>
      <c r="F21" s="66">
        <f>F22+F29+F61+F63</f>
        <v>2446579</v>
      </c>
      <c r="G21" s="66">
        <f t="shared" si="1"/>
        <v>96.15166044409511</v>
      </c>
      <c r="H21" s="405">
        <f t="shared" si="0"/>
        <v>15.766592876797642</v>
      </c>
      <c r="I21" s="1"/>
      <c r="K21" s="1"/>
    </row>
    <row r="22" spans="1:9" ht="14.25" customHeight="1">
      <c r="A22" s="291">
        <v>721000</v>
      </c>
      <c r="B22" s="23"/>
      <c r="C22" s="80" t="s">
        <v>175</v>
      </c>
      <c r="D22" s="87">
        <f>D23+D27</f>
        <v>202000</v>
      </c>
      <c r="E22" s="87">
        <f>E23+E27</f>
        <v>-6421</v>
      </c>
      <c r="F22" s="87">
        <f>F23+F27</f>
        <v>195579</v>
      </c>
      <c r="G22" s="87">
        <f t="shared" si="1"/>
        <v>96.82128712871287</v>
      </c>
      <c r="H22" s="406">
        <f t="shared" si="0"/>
        <v>1.2603780496158945</v>
      </c>
      <c r="I22" s="1"/>
    </row>
    <row r="23" spans="1:12" ht="14.25" customHeight="1">
      <c r="A23" s="292">
        <v>721200</v>
      </c>
      <c r="B23" s="31"/>
      <c r="C23" s="26" t="s">
        <v>176</v>
      </c>
      <c r="D23" s="69">
        <f>SUM(D24:D26)</f>
        <v>190000</v>
      </c>
      <c r="E23" s="69">
        <f>SUM(E24:E26)</f>
        <v>3000</v>
      </c>
      <c r="F23" s="69">
        <f>SUM(F24:F26)</f>
        <v>193000</v>
      </c>
      <c r="G23" s="286">
        <f t="shared" si="1"/>
        <v>101.57894736842105</v>
      </c>
      <c r="H23" s="287">
        <f t="shared" si="0"/>
        <v>1.2437580904691592</v>
      </c>
      <c r="I23" s="1"/>
      <c r="L23" s="1"/>
    </row>
    <row r="24" spans="1:12" ht="14.25" customHeight="1">
      <c r="A24" s="293">
        <v>721222</v>
      </c>
      <c r="B24" s="17"/>
      <c r="C24" s="27" t="s">
        <v>272</v>
      </c>
      <c r="D24" s="68">
        <v>15000</v>
      </c>
      <c r="E24" s="68">
        <f t="shared" si="2"/>
        <v>-2000</v>
      </c>
      <c r="F24" s="68">
        <v>13000</v>
      </c>
      <c r="G24" s="269">
        <f t="shared" si="1"/>
        <v>86.66666666666667</v>
      </c>
      <c r="H24" s="288">
        <f t="shared" si="0"/>
        <v>0.08377645168963248</v>
      </c>
      <c r="I24" s="1"/>
      <c r="L24" s="1"/>
    </row>
    <row r="25" spans="1:12" ht="14.25" customHeight="1">
      <c r="A25" s="293">
        <v>721223</v>
      </c>
      <c r="B25" s="17"/>
      <c r="C25" s="29" t="s">
        <v>13</v>
      </c>
      <c r="D25" s="68">
        <v>150000</v>
      </c>
      <c r="E25" s="68">
        <f t="shared" si="2"/>
        <v>20000</v>
      </c>
      <c r="F25" s="68">
        <v>170000</v>
      </c>
      <c r="G25" s="269">
        <f t="shared" si="1"/>
        <v>113.33333333333333</v>
      </c>
      <c r="H25" s="288">
        <f t="shared" si="0"/>
        <v>1.0955382144028862</v>
      </c>
      <c r="I25" s="381"/>
      <c r="L25" s="1"/>
    </row>
    <row r="26" spans="1:13" ht="14.25" customHeight="1">
      <c r="A26" s="293">
        <v>721224</v>
      </c>
      <c r="B26" s="17"/>
      <c r="C26" s="29" t="s">
        <v>253</v>
      </c>
      <c r="D26" s="68">
        <v>25000</v>
      </c>
      <c r="E26" s="68">
        <f t="shared" si="2"/>
        <v>-15000</v>
      </c>
      <c r="F26" s="68">
        <v>10000</v>
      </c>
      <c r="G26" s="269">
        <f t="shared" si="1"/>
        <v>40</v>
      </c>
      <c r="H26" s="288">
        <f t="shared" si="0"/>
        <v>0.06444342437664037</v>
      </c>
      <c r="I26" s="1"/>
      <c r="L26" s="1"/>
      <c r="M26" s="1"/>
    </row>
    <row r="27" spans="1:12" ht="14.25" customHeight="1">
      <c r="A27" s="297">
        <v>721300</v>
      </c>
      <c r="B27" s="401"/>
      <c r="C27" s="81" t="s">
        <v>177</v>
      </c>
      <c r="D27" s="69">
        <f>SUM(D28:D28)</f>
        <v>12000</v>
      </c>
      <c r="E27" s="69">
        <f>SUM(E28:E28)</f>
        <v>-9421</v>
      </c>
      <c r="F27" s="69">
        <f>SUM(F28:F28)</f>
        <v>2579</v>
      </c>
      <c r="G27" s="286">
        <f t="shared" si="1"/>
        <v>21.491666666666667</v>
      </c>
      <c r="H27" s="287">
        <f t="shared" si="0"/>
        <v>0.01661995914673555</v>
      </c>
      <c r="I27" s="1"/>
      <c r="L27" s="1"/>
    </row>
    <row r="28" spans="1:12" ht="14.25" customHeight="1">
      <c r="A28" s="298">
        <v>721310</v>
      </c>
      <c r="B28" s="97"/>
      <c r="C28" s="82" t="s">
        <v>254</v>
      </c>
      <c r="D28" s="68">
        <v>12000</v>
      </c>
      <c r="E28" s="68">
        <f t="shared" si="2"/>
        <v>-9421</v>
      </c>
      <c r="F28" s="68">
        <v>2579</v>
      </c>
      <c r="G28" s="269">
        <f t="shared" si="1"/>
        <v>21.491666666666667</v>
      </c>
      <c r="H28" s="288">
        <f t="shared" si="0"/>
        <v>0.01661995914673555</v>
      </c>
      <c r="I28" s="1"/>
      <c r="L28" s="1"/>
    </row>
    <row r="29" spans="1:13" ht="14.25" customHeight="1">
      <c r="A29" s="291">
        <v>722000</v>
      </c>
      <c r="B29" s="23"/>
      <c r="C29" s="26" t="s">
        <v>178</v>
      </c>
      <c r="D29" s="87">
        <f>D30+D33+D42+D52</f>
        <v>2277500</v>
      </c>
      <c r="E29" s="87">
        <f>E30+E33+E42+E52</f>
        <v>-95500</v>
      </c>
      <c r="F29" s="87">
        <f>F30+F33+F42+F52</f>
        <v>2182000</v>
      </c>
      <c r="G29" s="87">
        <f t="shared" si="1"/>
        <v>95.80680570801317</v>
      </c>
      <c r="H29" s="406">
        <f t="shared" si="0"/>
        <v>14.061555198982928</v>
      </c>
      <c r="I29" s="1"/>
      <c r="L29" s="1"/>
      <c r="M29" s="1"/>
    </row>
    <row r="30" spans="1:12" ht="14.25" customHeight="1">
      <c r="A30" s="297">
        <v>722100</v>
      </c>
      <c r="B30" s="401"/>
      <c r="C30" s="26" t="s">
        <v>14</v>
      </c>
      <c r="D30" s="53">
        <f>SUM(D31:D32)</f>
        <v>230000</v>
      </c>
      <c r="E30" s="53">
        <f>SUM(E31:E32)</f>
        <v>-20000</v>
      </c>
      <c r="F30" s="53">
        <f>SUM(F31:F32)</f>
        <v>210000</v>
      </c>
      <c r="G30" s="286">
        <f t="shared" si="1"/>
        <v>91.30434782608695</v>
      </c>
      <c r="H30" s="287">
        <f t="shared" si="0"/>
        <v>1.3533119119094477</v>
      </c>
      <c r="I30" s="1"/>
      <c r="L30" s="1"/>
    </row>
    <row r="31" spans="1:12" ht="14.25" customHeight="1" hidden="1">
      <c r="A31" s="293">
        <v>722118</v>
      </c>
      <c r="B31" s="401"/>
      <c r="C31" s="27" t="s">
        <v>434</v>
      </c>
      <c r="D31" s="67">
        <v>0</v>
      </c>
      <c r="E31" s="67">
        <f t="shared" si="2"/>
        <v>0</v>
      </c>
      <c r="F31" s="67">
        <v>0</v>
      </c>
      <c r="G31" s="269">
        <f t="shared" si="1"/>
        <v>0</v>
      </c>
      <c r="H31" s="288">
        <f t="shared" si="0"/>
        <v>0</v>
      </c>
      <c r="I31" s="1"/>
      <c r="L31" s="1"/>
    </row>
    <row r="32" spans="1:12" ht="14.25" customHeight="1">
      <c r="A32" s="293">
        <v>722121</v>
      </c>
      <c r="B32" s="17"/>
      <c r="C32" s="27" t="s">
        <v>15</v>
      </c>
      <c r="D32" s="67">
        <v>230000</v>
      </c>
      <c r="E32" s="67">
        <f t="shared" si="2"/>
        <v>-20000</v>
      </c>
      <c r="F32" s="67">
        <v>210000</v>
      </c>
      <c r="G32" s="269">
        <f t="shared" si="1"/>
        <v>91.30434782608695</v>
      </c>
      <c r="H32" s="288">
        <f t="shared" si="0"/>
        <v>1.3533119119094477</v>
      </c>
      <c r="I32" s="1"/>
      <c r="L32" s="1"/>
    </row>
    <row r="33" spans="1:13" ht="14.25" customHeight="1">
      <c r="A33" s="292">
        <v>722300</v>
      </c>
      <c r="B33" s="31"/>
      <c r="C33" s="26" t="s">
        <v>16</v>
      </c>
      <c r="D33" s="53">
        <f>SUM(D34:D41)</f>
        <v>615300</v>
      </c>
      <c r="E33" s="53">
        <f>SUM(E34:E41)</f>
        <v>17800</v>
      </c>
      <c r="F33" s="53">
        <f>SUM(F34:F41)</f>
        <v>633100</v>
      </c>
      <c r="G33" s="286">
        <f t="shared" si="1"/>
        <v>102.89289777344386</v>
      </c>
      <c r="H33" s="287">
        <f t="shared" si="0"/>
        <v>4.0799131972851015</v>
      </c>
      <c r="I33" s="1"/>
      <c r="L33" s="1"/>
      <c r="M33" s="1"/>
    </row>
    <row r="34" spans="1:12" ht="14.25" customHeight="1">
      <c r="A34" s="293">
        <v>722312</v>
      </c>
      <c r="B34" s="17"/>
      <c r="C34" s="27" t="s">
        <v>342</v>
      </c>
      <c r="D34" s="67">
        <v>410000</v>
      </c>
      <c r="E34" s="67">
        <f t="shared" si="2"/>
        <v>10000</v>
      </c>
      <c r="F34" s="67">
        <v>420000</v>
      </c>
      <c r="G34" s="269">
        <f t="shared" si="1"/>
        <v>102.4390243902439</v>
      </c>
      <c r="H34" s="288">
        <f t="shared" si="0"/>
        <v>2.7066238238188953</v>
      </c>
      <c r="I34" s="1"/>
      <c r="L34" s="1"/>
    </row>
    <row r="35" spans="1:12" ht="24" customHeight="1">
      <c r="A35" s="293">
        <v>722314</v>
      </c>
      <c r="B35" s="17"/>
      <c r="C35" s="27" t="s">
        <v>343</v>
      </c>
      <c r="D35" s="68">
        <v>15000</v>
      </c>
      <c r="E35" s="68">
        <f t="shared" si="2"/>
        <v>23000</v>
      </c>
      <c r="F35" s="68">
        <v>38000</v>
      </c>
      <c r="G35" s="269">
        <f t="shared" si="1"/>
        <v>253.33333333333331</v>
      </c>
      <c r="H35" s="288">
        <f t="shared" si="0"/>
        <v>0.2448850126312334</v>
      </c>
      <c r="I35" s="1"/>
      <c r="L35" s="1"/>
    </row>
    <row r="36" spans="1:12" ht="23.25" customHeight="1">
      <c r="A36" s="293">
        <v>722316</v>
      </c>
      <c r="B36" s="17"/>
      <c r="C36" s="27" t="s">
        <v>17</v>
      </c>
      <c r="D36" s="67">
        <v>4000</v>
      </c>
      <c r="E36" s="67">
        <f t="shared" si="2"/>
        <v>-1500</v>
      </c>
      <c r="F36" s="67">
        <v>2500</v>
      </c>
      <c r="G36" s="269">
        <f t="shared" si="1"/>
        <v>62.5</v>
      </c>
      <c r="H36" s="288">
        <f t="shared" si="0"/>
        <v>0.016110856094160093</v>
      </c>
      <c r="I36" s="1"/>
      <c r="L36" s="1"/>
    </row>
    <row r="37" spans="1:12" ht="23.25" customHeight="1">
      <c r="A37" s="293">
        <v>722317</v>
      </c>
      <c r="B37" s="17"/>
      <c r="C37" s="27" t="s">
        <v>344</v>
      </c>
      <c r="D37" s="67">
        <v>300</v>
      </c>
      <c r="E37" s="67">
        <f t="shared" si="2"/>
        <v>300</v>
      </c>
      <c r="F37" s="67">
        <v>600</v>
      </c>
      <c r="G37" s="269">
        <f t="shared" si="1"/>
        <v>200</v>
      </c>
      <c r="H37" s="288">
        <f aca="true" t="shared" si="3" ref="H37:H69">F37/$F$95*100</f>
        <v>0.003866605462598422</v>
      </c>
      <c r="I37" s="1"/>
      <c r="L37" s="1"/>
    </row>
    <row r="38" spans="1:13" ht="14.25" customHeight="1">
      <c r="A38" s="293">
        <v>722318</v>
      </c>
      <c r="B38" s="17"/>
      <c r="C38" s="27" t="s">
        <v>18</v>
      </c>
      <c r="D38" s="67">
        <v>4000</v>
      </c>
      <c r="E38" s="67">
        <f t="shared" si="2"/>
        <v>0</v>
      </c>
      <c r="F38" s="67">
        <v>4000</v>
      </c>
      <c r="G38" s="269">
        <f t="shared" si="1"/>
        <v>100</v>
      </c>
      <c r="H38" s="288">
        <f t="shared" si="3"/>
        <v>0.025777369750656146</v>
      </c>
      <c r="I38" s="1"/>
      <c r="L38" s="1"/>
      <c r="M38" s="1"/>
    </row>
    <row r="39" spans="1:12" ht="39.75" customHeight="1">
      <c r="A39" s="293">
        <v>722319</v>
      </c>
      <c r="B39" s="17"/>
      <c r="C39" s="27" t="s">
        <v>264</v>
      </c>
      <c r="D39" s="67">
        <v>150000</v>
      </c>
      <c r="E39" s="67">
        <f t="shared" si="2"/>
        <v>-10000</v>
      </c>
      <c r="F39" s="67">
        <v>140000</v>
      </c>
      <c r="G39" s="269">
        <f t="shared" si="1"/>
        <v>93.33333333333333</v>
      </c>
      <c r="H39" s="288">
        <f t="shared" si="3"/>
        <v>0.9022079412729651</v>
      </c>
      <c r="I39" s="1"/>
      <c r="L39" s="1"/>
    </row>
    <row r="40" spans="1:12" ht="25.5" customHeight="1">
      <c r="A40" s="293">
        <v>722391</v>
      </c>
      <c r="B40" s="17"/>
      <c r="C40" s="27" t="s">
        <v>19</v>
      </c>
      <c r="D40" s="67">
        <v>12000</v>
      </c>
      <c r="E40" s="67">
        <f t="shared" si="2"/>
        <v>-1000</v>
      </c>
      <c r="F40" s="67">
        <v>11000</v>
      </c>
      <c r="G40" s="269">
        <f t="shared" si="1"/>
        <v>91.66666666666666</v>
      </c>
      <c r="H40" s="288">
        <f t="shared" si="3"/>
        <v>0.0708877668143044</v>
      </c>
      <c r="I40" s="1"/>
      <c r="L40" s="1"/>
    </row>
    <row r="41" spans="1:13" ht="14.25" customHeight="1">
      <c r="A41" s="293">
        <v>722396</v>
      </c>
      <c r="B41" s="17"/>
      <c r="C41" s="27" t="s">
        <v>179</v>
      </c>
      <c r="D41" s="67">
        <v>20000</v>
      </c>
      <c r="E41" s="67">
        <f t="shared" si="2"/>
        <v>-3000</v>
      </c>
      <c r="F41" s="67">
        <v>17000</v>
      </c>
      <c r="G41" s="269">
        <f t="shared" si="1"/>
        <v>85</v>
      </c>
      <c r="H41" s="288">
        <f t="shared" si="3"/>
        <v>0.1095538214402886</v>
      </c>
      <c r="I41" s="1"/>
      <c r="L41" s="1"/>
      <c r="M41" s="1"/>
    </row>
    <row r="42" spans="1:12" ht="14.25" customHeight="1">
      <c r="A42" s="292">
        <v>722400</v>
      </c>
      <c r="B42" s="31"/>
      <c r="C42" s="36" t="s">
        <v>20</v>
      </c>
      <c r="D42" s="139">
        <f>SUM(D43:D51)</f>
        <v>1110000</v>
      </c>
      <c r="E42" s="139">
        <f>SUM(E43:E51)</f>
        <v>-65000</v>
      </c>
      <c r="F42" s="139">
        <f>SUM(F43:F51)</f>
        <v>1045000</v>
      </c>
      <c r="G42" s="286">
        <f t="shared" si="1"/>
        <v>94.14414414414415</v>
      </c>
      <c r="H42" s="287">
        <f t="shared" si="3"/>
        <v>6.734337847358917</v>
      </c>
      <c r="I42" s="1"/>
      <c r="L42" s="1"/>
    </row>
    <row r="43" spans="1:12" ht="14.25" customHeight="1">
      <c r="A43" s="293">
        <v>722411</v>
      </c>
      <c r="B43" s="17"/>
      <c r="C43" s="27" t="s">
        <v>340</v>
      </c>
      <c r="D43" s="68">
        <v>160000</v>
      </c>
      <c r="E43" s="68">
        <f t="shared" si="2"/>
        <v>30000</v>
      </c>
      <c r="F43" s="68">
        <v>190000</v>
      </c>
      <c r="G43" s="269">
        <f t="shared" si="1"/>
        <v>118.75</v>
      </c>
      <c r="H43" s="288">
        <f t="shared" si="3"/>
        <v>1.2244250631561668</v>
      </c>
      <c r="I43" s="381"/>
      <c r="L43" s="1"/>
    </row>
    <row r="44" spans="1:12" ht="14.25" customHeight="1">
      <c r="A44" s="293">
        <v>722424</v>
      </c>
      <c r="B44" s="17"/>
      <c r="C44" s="27" t="s">
        <v>255</v>
      </c>
      <c r="D44" s="68">
        <v>100000</v>
      </c>
      <c r="E44" s="68">
        <f t="shared" si="2"/>
        <v>-10000</v>
      </c>
      <c r="F44" s="68">
        <v>90000</v>
      </c>
      <c r="G44" s="269">
        <f t="shared" si="1"/>
        <v>90</v>
      </c>
      <c r="H44" s="288">
        <f t="shared" si="3"/>
        <v>0.5799908193897633</v>
      </c>
      <c r="I44" s="1"/>
      <c r="L44" s="1"/>
    </row>
    <row r="45" spans="1:12" ht="14.25" customHeight="1">
      <c r="A45" s="293">
        <v>722425</v>
      </c>
      <c r="B45" s="17"/>
      <c r="C45" s="27" t="s">
        <v>256</v>
      </c>
      <c r="D45" s="68">
        <v>90000</v>
      </c>
      <c r="E45" s="68">
        <f t="shared" si="2"/>
        <v>-45000</v>
      </c>
      <c r="F45" s="68">
        <v>45000</v>
      </c>
      <c r="G45" s="269">
        <f t="shared" si="1"/>
        <v>50</v>
      </c>
      <c r="H45" s="288">
        <f t="shared" si="3"/>
        <v>0.28999540969488163</v>
      </c>
      <c r="I45" s="1"/>
      <c r="L45" s="1"/>
    </row>
    <row r="46" spans="1:12" ht="33.75" customHeight="1">
      <c r="A46" s="293">
        <v>722435</v>
      </c>
      <c r="B46" s="17"/>
      <c r="C46" s="27" t="s">
        <v>341</v>
      </c>
      <c r="D46" s="68">
        <v>220000</v>
      </c>
      <c r="E46" s="68">
        <f t="shared" si="2"/>
        <v>-40000</v>
      </c>
      <c r="F46" s="68">
        <v>180000</v>
      </c>
      <c r="G46" s="269">
        <f t="shared" si="1"/>
        <v>81.81818181818183</v>
      </c>
      <c r="H46" s="288">
        <f t="shared" si="3"/>
        <v>1.1599816387795265</v>
      </c>
      <c r="I46" s="1"/>
      <c r="L46" s="1"/>
    </row>
    <row r="47" spans="1:13" ht="24" customHeight="1">
      <c r="A47" s="293">
        <v>722437</v>
      </c>
      <c r="B47" s="17"/>
      <c r="C47" s="27" t="s">
        <v>276</v>
      </c>
      <c r="D47" s="68">
        <v>30000</v>
      </c>
      <c r="E47" s="68">
        <f t="shared" si="2"/>
        <v>10000</v>
      </c>
      <c r="F47" s="68">
        <v>40000</v>
      </c>
      <c r="G47" s="269">
        <f t="shared" si="1"/>
        <v>133.33333333333331</v>
      </c>
      <c r="H47" s="288">
        <f t="shared" si="3"/>
        <v>0.2577736975065615</v>
      </c>
      <c r="I47" s="1"/>
      <c r="L47" s="1"/>
      <c r="M47" s="1"/>
    </row>
    <row r="48" spans="1:12" ht="24" customHeight="1">
      <c r="A48" s="294">
        <v>722440</v>
      </c>
      <c r="B48" s="37"/>
      <c r="C48" s="44" t="s">
        <v>278</v>
      </c>
      <c r="D48" s="68">
        <v>110000</v>
      </c>
      <c r="E48" s="68">
        <f t="shared" si="2"/>
        <v>0</v>
      </c>
      <c r="F48" s="68">
        <v>110000</v>
      </c>
      <c r="G48" s="269">
        <f t="shared" si="1"/>
        <v>100</v>
      </c>
      <c r="H48" s="288">
        <f t="shared" si="3"/>
        <v>0.7088776681430441</v>
      </c>
      <c r="I48" s="1"/>
      <c r="L48" s="1"/>
    </row>
    <row r="49" spans="1:12" ht="23.25" customHeight="1">
      <c r="A49" s="293">
        <v>722461</v>
      </c>
      <c r="B49" s="17"/>
      <c r="C49" s="27" t="s">
        <v>62</v>
      </c>
      <c r="D49" s="68">
        <v>230000</v>
      </c>
      <c r="E49" s="68">
        <f t="shared" si="2"/>
        <v>-20000</v>
      </c>
      <c r="F49" s="68">
        <v>210000</v>
      </c>
      <c r="G49" s="269">
        <f t="shared" si="1"/>
        <v>91.30434782608695</v>
      </c>
      <c r="H49" s="288">
        <f t="shared" si="3"/>
        <v>1.3533119119094477</v>
      </c>
      <c r="I49" s="1"/>
      <c r="L49" s="1"/>
    </row>
    <row r="50" spans="1:12" ht="13.5" customHeight="1">
      <c r="A50" s="293">
        <v>722467</v>
      </c>
      <c r="B50" s="17"/>
      <c r="C50" s="27" t="s">
        <v>21</v>
      </c>
      <c r="D50" s="67">
        <v>170000</v>
      </c>
      <c r="E50" s="67">
        <f t="shared" si="2"/>
        <v>10000</v>
      </c>
      <c r="F50" s="67">
        <v>180000</v>
      </c>
      <c r="G50" s="269">
        <f t="shared" si="1"/>
        <v>105.88235294117648</v>
      </c>
      <c r="H50" s="288">
        <f t="shared" si="3"/>
        <v>1.1599816387795265</v>
      </c>
      <c r="I50" s="1"/>
      <c r="L50" s="1"/>
    </row>
    <row r="51" spans="1:12" ht="23.25" customHeight="1" hidden="1">
      <c r="A51" s="293">
        <v>722491</v>
      </c>
      <c r="B51" s="17"/>
      <c r="C51" s="27" t="s">
        <v>339</v>
      </c>
      <c r="D51" s="67">
        <v>0</v>
      </c>
      <c r="E51" s="67">
        <f t="shared" si="2"/>
        <v>0</v>
      </c>
      <c r="F51" s="67">
        <v>0</v>
      </c>
      <c r="G51" s="473">
        <f t="shared" si="1"/>
        <v>0</v>
      </c>
      <c r="H51" s="474">
        <f t="shared" si="3"/>
        <v>0</v>
      </c>
      <c r="I51" s="1"/>
      <c r="L51" s="1"/>
    </row>
    <row r="52" spans="1:12" ht="14.25" customHeight="1">
      <c r="A52" s="299">
        <v>722500</v>
      </c>
      <c r="B52" s="83"/>
      <c r="C52" s="26" t="s">
        <v>22</v>
      </c>
      <c r="D52" s="139">
        <f>SUM(D53:D60)</f>
        <v>322200</v>
      </c>
      <c r="E52" s="139">
        <f>SUM(E53:E60)</f>
        <v>-28300</v>
      </c>
      <c r="F52" s="139">
        <f>SUM(F53:F60)</f>
        <v>293900</v>
      </c>
      <c r="G52" s="286">
        <f t="shared" si="1"/>
        <v>91.21663563004346</v>
      </c>
      <c r="H52" s="287">
        <f t="shared" si="3"/>
        <v>1.8939922424294604</v>
      </c>
      <c r="I52" s="1"/>
      <c r="L52" s="1"/>
    </row>
    <row r="53" spans="1:12" ht="14.25" customHeight="1">
      <c r="A53" s="293">
        <v>722521</v>
      </c>
      <c r="B53" s="17"/>
      <c r="C53" s="27" t="s">
        <v>481</v>
      </c>
      <c r="D53" s="67">
        <v>21000</v>
      </c>
      <c r="E53" s="67">
        <f t="shared" si="2"/>
        <v>-3000</v>
      </c>
      <c r="F53" s="67">
        <v>18000</v>
      </c>
      <c r="G53" s="269">
        <f t="shared" si="1"/>
        <v>85.71428571428571</v>
      </c>
      <c r="H53" s="288">
        <f t="shared" si="3"/>
        <v>0.11599816387795267</v>
      </c>
      <c r="I53" s="1"/>
      <c r="L53" s="1"/>
    </row>
    <row r="54" spans="1:12" ht="14.25" customHeight="1">
      <c r="A54" s="293">
        <v>722591</v>
      </c>
      <c r="B54" s="17"/>
      <c r="C54" s="29" t="s">
        <v>482</v>
      </c>
      <c r="D54" s="98">
        <v>17700</v>
      </c>
      <c r="E54" s="98">
        <f t="shared" si="2"/>
        <v>0</v>
      </c>
      <c r="F54" s="98">
        <v>17700</v>
      </c>
      <c r="G54" s="269">
        <f t="shared" si="1"/>
        <v>100</v>
      </c>
      <c r="H54" s="288">
        <f t="shared" si="3"/>
        <v>0.11406486114665344</v>
      </c>
      <c r="I54" s="1"/>
      <c r="L54" s="1"/>
    </row>
    <row r="55" spans="1:13" ht="14.25" customHeight="1">
      <c r="A55" s="293">
        <v>722591</v>
      </c>
      <c r="B55" s="17"/>
      <c r="C55" s="29" t="s">
        <v>288</v>
      </c>
      <c r="D55" s="98">
        <v>11000</v>
      </c>
      <c r="E55" s="98">
        <f t="shared" si="2"/>
        <v>100</v>
      </c>
      <c r="F55" s="98">
        <v>11100</v>
      </c>
      <c r="G55" s="269">
        <f t="shared" si="1"/>
        <v>100.9090909090909</v>
      </c>
      <c r="H55" s="288">
        <f t="shared" si="3"/>
        <v>0.0715322010580708</v>
      </c>
      <c r="I55" s="1"/>
      <c r="L55" s="1"/>
      <c r="M55" s="1"/>
    </row>
    <row r="56" spans="1:12" ht="14.25" customHeight="1">
      <c r="A56" s="293">
        <v>722591</v>
      </c>
      <c r="B56" s="17"/>
      <c r="C56" s="27" t="s">
        <v>282</v>
      </c>
      <c r="D56" s="98">
        <v>27000</v>
      </c>
      <c r="E56" s="98">
        <f t="shared" si="2"/>
        <v>-5000</v>
      </c>
      <c r="F56" s="98">
        <v>22000</v>
      </c>
      <c r="G56" s="269">
        <f t="shared" si="1"/>
        <v>81.48148148148148</v>
      </c>
      <c r="H56" s="288">
        <f t="shared" si="3"/>
        <v>0.1417755336286088</v>
      </c>
      <c r="I56" s="1"/>
      <c r="L56" s="1"/>
    </row>
    <row r="57" spans="1:12" ht="14.25" customHeight="1">
      <c r="A57" s="293">
        <v>722591</v>
      </c>
      <c r="B57" s="17"/>
      <c r="C57" s="27" t="s">
        <v>455</v>
      </c>
      <c r="D57" s="98">
        <v>1300</v>
      </c>
      <c r="E57" s="98">
        <f t="shared" si="2"/>
        <v>-400</v>
      </c>
      <c r="F57" s="98">
        <v>900</v>
      </c>
      <c r="G57" s="269">
        <f t="shared" si="1"/>
        <v>69.23076923076923</v>
      </c>
      <c r="H57" s="288">
        <f t="shared" si="3"/>
        <v>0.005799908193897633</v>
      </c>
      <c r="I57" s="1"/>
      <c r="L57" s="1"/>
    </row>
    <row r="58" spans="1:12" ht="14.25" customHeight="1">
      <c r="A58" s="293">
        <v>722591</v>
      </c>
      <c r="B58" s="17"/>
      <c r="C58" s="29" t="s">
        <v>483</v>
      </c>
      <c r="D58" s="98">
        <v>3000</v>
      </c>
      <c r="E58" s="98">
        <f t="shared" si="2"/>
        <v>0</v>
      </c>
      <c r="F58" s="98">
        <v>3000</v>
      </c>
      <c r="G58" s="269">
        <f t="shared" si="1"/>
        <v>100</v>
      </c>
      <c r="H58" s="288">
        <f t="shared" si="3"/>
        <v>0.01933302731299211</v>
      </c>
      <c r="I58" s="1"/>
      <c r="L58" s="1"/>
    </row>
    <row r="59" spans="1:12" ht="14.25" customHeight="1">
      <c r="A59" s="293">
        <v>722591</v>
      </c>
      <c r="B59" s="17"/>
      <c r="C59" s="29" t="s">
        <v>484</v>
      </c>
      <c r="D59" s="98">
        <v>240000</v>
      </c>
      <c r="E59" s="98">
        <f t="shared" si="2"/>
        <v>-20000</v>
      </c>
      <c r="F59" s="98">
        <v>220000</v>
      </c>
      <c r="G59" s="269">
        <f t="shared" si="1"/>
        <v>91.66666666666666</v>
      </c>
      <c r="H59" s="288">
        <f t="shared" si="3"/>
        <v>1.4177553362860882</v>
      </c>
      <c r="I59" s="1"/>
      <c r="L59" s="1"/>
    </row>
    <row r="60" spans="1:12" ht="14.25" customHeight="1">
      <c r="A60" s="293">
        <v>722591</v>
      </c>
      <c r="B60" s="17"/>
      <c r="C60" s="27" t="s">
        <v>485</v>
      </c>
      <c r="D60" s="98">
        <v>1200</v>
      </c>
      <c r="E60" s="98">
        <f t="shared" si="2"/>
        <v>0</v>
      </c>
      <c r="F60" s="98">
        <v>1200</v>
      </c>
      <c r="G60" s="269">
        <f t="shared" si="1"/>
        <v>100</v>
      </c>
      <c r="H60" s="288">
        <f t="shared" si="3"/>
        <v>0.007733210925196844</v>
      </c>
      <c r="I60" s="1"/>
      <c r="L60" s="1"/>
    </row>
    <row r="61" spans="1:12" ht="14.25" customHeight="1">
      <c r="A61" s="291">
        <v>723000</v>
      </c>
      <c r="B61" s="23"/>
      <c r="C61" s="55" t="s">
        <v>23</v>
      </c>
      <c r="D61" s="140">
        <f>D62</f>
        <v>13000</v>
      </c>
      <c r="E61" s="140">
        <f>E62</f>
        <v>1000</v>
      </c>
      <c r="F61" s="140">
        <f>F62</f>
        <v>14000</v>
      </c>
      <c r="G61" s="87">
        <f t="shared" si="1"/>
        <v>107.6923076923077</v>
      </c>
      <c r="H61" s="406">
        <f t="shared" si="3"/>
        <v>0.09022079412729651</v>
      </c>
      <c r="I61" s="1"/>
      <c r="L61" s="1"/>
    </row>
    <row r="62" spans="1:12" ht="25.5" customHeight="1">
      <c r="A62" s="293">
        <v>723121</v>
      </c>
      <c r="B62" s="17"/>
      <c r="C62" s="27" t="s">
        <v>257</v>
      </c>
      <c r="D62" s="67">
        <v>13000</v>
      </c>
      <c r="E62" s="67">
        <f t="shared" si="2"/>
        <v>1000</v>
      </c>
      <c r="F62" s="67">
        <v>14000</v>
      </c>
      <c r="G62" s="269">
        <f t="shared" si="1"/>
        <v>107.6923076923077</v>
      </c>
      <c r="H62" s="288">
        <f t="shared" si="3"/>
        <v>0.09022079412729651</v>
      </c>
      <c r="I62" s="1"/>
      <c r="L62" s="1"/>
    </row>
    <row r="63" spans="1:12" ht="12.75">
      <c r="A63" s="291">
        <v>729000</v>
      </c>
      <c r="B63" s="23"/>
      <c r="C63" s="26" t="s">
        <v>24</v>
      </c>
      <c r="D63" s="140">
        <f>SUM(D64:D64)</f>
        <v>52000</v>
      </c>
      <c r="E63" s="140">
        <f>SUM(E64:E64)</f>
        <v>3000</v>
      </c>
      <c r="F63" s="140">
        <f>SUM(F64:F64)</f>
        <v>55000</v>
      </c>
      <c r="G63" s="87">
        <f t="shared" si="1"/>
        <v>105.76923076923077</v>
      </c>
      <c r="H63" s="406">
        <f t="shared" si="3"/>
        <v>0.35443883407152205</v>
      </c>
      <c r="I63" s="1"/>
      <c r="L63" s="1"/>
    </row>
    <row r="64" spans="1:13" ht="17.25" customHeight="1">
      <c r="A64" s="293">
        <v>729124</v>
      </c>
      <c r="B64" s="17"/>
      <c r="C64" s="30" t="s">
        <v>480</v>
      </c>
      <c r="D64" s="68">
        <v>52000</v>
      </c>
      <c r="E64" s="68">
        <f t="shared" si="2"/>
        <v>3000</v>
      </c>
      <c r="F64" s="68">
        <v>55000</v>
      </c>
      <c r="G64" s="269">
        <f t="shared" si="1"/>
        <v>105.76923076923077</v>
      </c>
      <c r="H64" s="288">
        <f t="shared" si="3"/>
        <v>0.35443883407152205</v>
      </c>
      <c r="I64" s="381"/>
      <c r="L64" s="1"/>
      <c r="M64" s="1"/>
    </row>
    <row r="65" spans="1:12" ht="15" customHeight="1">
      <c r="A65" s="300">
        <v>730000</v>
      </c>
      <c r="B65" s="402"/>
      <c r="C65" s="48" t="s">
        <v>258</v>
      </c>
      <c r="D65" s="66">
        <f>D66+D69</f>
        <v>0</v>
      </c>
      <c r="E65" s="66">
        <f>E66+E69</f>
        <v>245700</v>
      </c>
      <c r="F65" s="66">
        <f>F66+F69</f>
        <v>245700</v>
      </c>
      <c r="G65" s="66">
        <f t="shared" si="1"/>
        <v>0</v>
      </c>
      <c r="H65" s="405">
        <f t="shared" si="3"/>
        <v>1.583374936934054</v>
      </c>
      <c r="L65" s="1"/>
    </row>
    <row r="66" spans="1:12" ht="15" customHeight="1">
      <c r="A66" s="300">
        <v>731100</v>
      </c>
      <c r="B66" s="402"/>
      <c r="C66" s="507" t="s">
        <v>579</v>
      </c>
      <c r="D66" s="194">
        <f>SUM(D67)</f>
        <v>0</v>
      </c>
      <c r="E66" s="194">
        <f>SUM(E67:E68)</f>
        <v>245700</v>
      </c>
      <c r="F66" s="194">
        <f>SUM(F67:F68)</f>
        <v>245700</v>
      </c>
      <c r="G66" s="194">
        <f t="shared" si="1"/>
        <v>0</v>
      </c>
      <c r="H66" s="509">
        <f t="shared" si="3"/>
        <v>1.583374936934054</v>
      </c>
      <c r="L66" s="1"/>
    </row>
    <row r="67" spans="1:12" ht="26.25" customHeight="1">
      <c r="A67" s="296">
        <v>731122</v>
      </c>
      <c r="B67" s="402"/>
      <c r="C67" s="508" t="s">
        <v>580</v>
      </c>
      <c r="D67" s="286">
        <v>0</v>
      </c>
      <c r="E67" s="269">
        <f>F67-D67</f>
        <v>225700</v>
      </c>
      <c r="F67" s="269">
        <v>225700</v>
      </c>
      <c r="G67" s="269">
        <f t="shared" si="1"/>
        <v>0</v>
      </c>
      <c r="H67" s="288">
        <f t="shared" si="3"/>
        <v>1.4544880881807731</v>
      </c>
      <c r="L67" s="1"/>
    </row>
    <row r="68" spans="1:12" ht="32.25" customHeight="1">
      <c r="A68" s="296">
        <v>731122</v>
      </c>
      <c r="B68" s="402"/>
      <c r="C68" s="508" t="s">
        <v>593</v>
      </c>
      <c r="D68" s="286">
        <v>0</v>
      </c>
      <c r="E68" s="269">
        <f>F68-D68</f>
        <v>20000</v>
      </c>
      <c r="F68" s="269">
        <v>20000</v>
      </c>
      <c r="G68" s="269"/>
      <c r="H68" s="288"/>
      <c r="L68" s="1"/>
    </row>
    <row r="69" spans="1:12" ht="14.25" customHeight="1">
      <c r="A69" s="301">
        <v>731200</v>
      </c>
      <c r="B69" s="88"/>
      <c r="C69" s="89" t="s">
        <v>194</v>
      </c>
      <c r="D69" s="87">
        <f>D70</f>
        <v>0</v>
      </c>
      <c r="E69" s="87">
        <f>E70</f>
        <v>0</v>
      </c>
      <c r="F69" s="87">
        <f>F70</f>
        <v>0</v>
      </c>
      <c r="G69" s="87">
        <f t="shared" si="1"/>
        <v>0</v>
      </c>
      <c r="H69" s="406">
        <f t="shared" si="3"/>
        <v>0</v>
      </c>
      <c r="L69" s="1"/>
    </row>
    <row r="70" spans="1:12" ht="14.25" customHeight="1">
      <c r="A70" s="296">
        <v>731210</v>
      </c>
      <c r="B70" s="38"/>
      <c r="C70" s="34" t="s">
        <v>359</v>
      </c>
      <c r="D70" s="68">
        <f>SUM(D71:D75)</f>
        <v>0</v>
      </c>
      <c r="E70" s="68">
        <f>SUM(E71:E75)</f>
        <v>0</v>
      </c>
      <c r="F70" s="68">
        <f>SUM(F71:F75)</f>
        <v>0</v>
      </c>
      <c r="G70" s="269">
        <f t="shared" si="1"/>
        <v>0</v>
      </c>
      <c r="H70" s="288">
        <f aca="true" t="shared" si="4" ref="H70:H95">F70/$F$95*100</f>
        <v>0</v>
      </c>
      <c r="L70" s="1"/>
    </row>
    <row r="71" spans="1:12" ht="36.75" customHeight="1" hidden="1">
      <c r="A71" s="302">
        <v>731200</v>
      </c>
      <c r="B71" s="62"/>
      <c r="C71" s="496" t="s">
        <v>457</v>
      </c>
      <c r="D71" s="98">
        <v>0</v>
      </c>
      <c r="E71" s="98">
        <v>0</v>
      </c>
      <c r="F71" s="98">
        <v>0</v>
      </c>
      <c r="G71" s="269">
        <f t="shared" si="1"/>
        <v>0</v>
      </c>
      <c r="H71" s="288">
        <f t="shared" si="4"/>
        <v>0</v>
      </c>
      <c r="L71" s="1"/>
    </row>
    <row r="72" spans="1:12" ht="22.5" customHeight="1" hidden="1">
      <c r="A72" s="302">
        <v>731200</v>
      </c>
      <c r="B72" s="62"/>
      <c r="C72" s="86" t="s">
        <v>456</v>
      </c>
      <c r="D72" s="98">
        <v>0</v>
      </c>
      <c r="E72" s="98">
        <v>0</v>
      </c>
      <c r="F72" s="98">
        <v>0</v>
      </c>
      <c r="G72" s="269">
        <f t="shared" si="1"/>
        <v>0</v>
      </c>
      <c r="H72" s="288">
        <f t="shared" si="4"/>
        <v>0</v>
      </c>
      <c r="L72" s="1"/>
    </row>
    <row r="73" spans="1:12" ht="22.5" customHeight="1" hidden="1">
      <c r="A73" s="302">
        <v>731200</v>
      </c>
      <c r="B73" s="62"/>
      <c r="C73" s="86" t="s">
        <v>490</v>
      </c>
      <c r="D73" s="98">
        <v>0</v>
      </c>
      <c r="E73" s="98">
        <v>0</v>
      </c>
      <c r="F73" s="98">
        <v>0</v>
      </c>
      <c r="G73" s="269">
        <f aca="true" t="shared" si="5" ref="G73:G95">IF(D73&gt;0,F73/D73*100,0)</f>
        <v>0</v>
      </c>
      <c r="H73" s="288">
        <f t="shared" si="4"/>
        <v>0</v>
      </c>
      <c r="L73" s="1"/>
    </row>
    <row r="74" spans="1:12" ht="22.5" customHeight="1" hidden="1">
      <c r="A74" s="302">
        <v>731200</v>
      </c>
      <c r="B74" s="62"/>
      <c r="C74" s="86" t="s">
        <v>491</v>
      </c>
      <c r="D74" s="98">
        <v>0</v>
      </c>
      <c r="E74" s="98">
        <v>0</v>
      </c>
      <c r="F74" s="98">
        <v>0</v>
      </c>
      <c r="G74" s="269">
        <f t="shared" si="5"/>
        <v>0</v>
      </c>
      <c r="H74" s="288">
        <f t="shared" si="4"/>
        <v>0</v>
      </c>
      <c r="L74" s="1"/>
    </row>
    <row r="75" spans="1:12" ht="36" hidden="1">
      <c r="A75" s="302">
        <v>731200</v>
      </c>
      <c r="B75" s="62"/>
      <c r="C75" s="86" t="s">
        <v>486</v>
      </c>
      <c r="D75" s="98">
        <v>0</v>
      </c>
      <c r="E75" s="98">
        <v>0</v>
      </c>
      <c r="F75" s="98">
        <v>0</v>
      </c>
      <c r="G75" s="269">
        <f t="shared" si="5"/>
        <v>0</v>
      </c>
      <c r="H75" s="288">
        <f t="shared" si="4"/>
        <v>0</v>
      </c>
      <c r="L75" s="1"/>
    </row>
    <row r="76" spans="1:10" s="2" customFormat="1" ht="15" customHeight="1">
      <c r="A76" s="300">
        <v>780000</v>
      </c>
      <c r="B76" s="402"/>
      <c r="C76" s="84" t="s">
        <v>387</v>
      </c>
      <c r="D76" s="66">
        <f>D77</f>
        <v>977500</v>
      </c>
      <c r="E76" s="66">
        <f>E77</f>
        <v>1449208</v>
      </c>
      <c r="F76" s="66">
        <f>F77</f>
        <v>2426708</v>
      </c>
      <c r="G76" s="66">
        <f t="shared" si="5"/>
        <v>248.25657289002558</v>
      </c>
      <c r="H76" s="405">
        <f t="shared" si="4"/>
        <v>15.63853734821882</v>
      </c>
      <c r="J76" s="384"/>
    </row>
    <row r="77" spans="1:11" s="2" customFormat="1" ht="24" customHeight="1">
      <c r="A77" s="295">
        <v>787000</v>
      </c>
      <c r="B77" s="76"/>
      <c r="C77" s="85" t="s">
        <v>402</v>
      </c>
      <c r="D77" s="87">
        <f>SUM(D78:D87)</f>
        <v>977500</v>
      </c>
      <c r="E77" s="87">
        <f>SUM(E78:E87)</f>
        <v>1449208</v>
      </c>
      <c r="F77" s="87">
        <f>SUM(F78:F87)</f>
        <v>2426708</v>
      </c>
      <c r="G77" s="87">
        <f t="shared" si="5"/>
        <v>248.25657289002558</v>
      </c>
      <c r="H77" s="406">
        <f t="shared" si="4"/>
        <v>15.63853734821882</v>
      </c>
      <c r="J77" s="384"/>
      <c r="K77" s="343"/>
    </row>
    <row r="78" spans="1:10" s="2" customFormat="1" ht="25.5" customHeight="1">
      <c r="A78" s="298">
        <v>787200</v>
      </c>
      <c r="B78" s="97"/>
      <c r="C78" s="86" t="s">
        <v>259</v>
      </c>
      <c r="D78" s="269">
        <v>894000</v>
      </c>
      <c r="E78" s="269">
        <f aca="true" t="shared" si="6" ref="E78:E87">F78-D78</f>
        <v>-24500</v>
      </c>
      <c r="F78" s="269">
        <v>869500</v>
      </c>
      <c r="G78" s="269">
        <f t="shared" si="5"/>
        <v>97.25950782997764</v>
      </c>
      <c r="H78" s="288">
        <f t="shared" si="4"/>
        <v>5.60335574954888</v>
      </c>
      <c r="I78" s="343"/>
      <c r="J78" s="384"/>
    </row>
    <row r="79" spans="1:10" s="2" customFormat="1" ht="36" customHeight="1">
      <c r="A79" s="298">
        <v>787200</v>
      </c>
      <c r="B79" s="97"/>
      <c r="C79" s="86" t="s">
        <v>427</v>
      </c>
      <c r="D79" s="68">
        <v>76100</v>
      </c>
      <c r="E79" s="68">
        <f t="shared" si="6"/>
        <v>0</v>
      </c>
      <c r="F79" s="68">
        <v>76100</v>
      </c>
      <c r="G79" s="269">
        <f t="shared" si="5"/>
        <v>100</v>
      </c>
      <c r="H79" s="288">
        <f t="shared" si="4"/>
        <v>0.4904144595062332</v>
      </c>
      <c r="J79" s="384"/>
    </row>
    <row r="80" spans="1:10" s="2" customFormat="1" ht="27.75" customHeight="1">
      <c r="A80" s="298">
        <v>787200</v>
      </c>
      <c r="B80" s="97"/>
      <c r="C80" s="86" t="s">
        <v>586</v>
      </c>
      <c r="D80" s="68">
        <v>0</v>
      </c>
      <c r="E80" s="68">
        <f t="shared" si="6"/>
        <v>75600</v>
      </c>
      <c r="F80" s="68">
        <v>75600</v>
      </c>
      <c r="G80" s="269">
        <f t="shared" si="5"/>
        <v>0</v>
      </c>
      <c r="H80" s="288">
        <f t="shared" si="4"/>
        <v>0.4871922882874012</v>
      </c>
      <c r="J80" s="384"/>
    </row>
    <row r="81" spans="1:10" s="2" customFormat="1" ht="24">
      <c r="A81" s="298">
        <v>787200</v>
      </c>
      <c r="B81" s="97"/>
      <c r="C81" s="86" t="s">
        <v>428</v>
      </c>
      <c r="D81" s="98">
        <v>4900</v>
      </c>
      <c r="E81" s="98">
        <f t="shared" si="6"/>
        <v>908</v>
      </c>
      <c r="F81" s="98">
        <v>5808</v>
      </c>
      <c r="G81" s="269">
        <f t="shared" si="5"/>
        <v>118.53061224489795</v>
      </c>
      <c r="H81" s="288">
        <f t="shared" si="4"/>
        <v>0.037428740877952726</v>
      </c>
      <c r="J81" s="384"/>
    </row>
    <row r="82" spans="1:10" s="2" customFormat="1" ht="36">
      <c r="A82" s="298">
        <v>787200</v>
      </c>
      <c r="B82" s="97"/>
      <c r="C82" s="86" t="s">
        <v>584</v>
      </c>
      <c r="D82" s="98">
        <v>0</v>
      </c>
      <c r="E82" s="98">
        <f t="shared" si="6"/>
        <v>97700</v>
      </c>
      <c r="F82" s="98">
        <v>97700</v>
      </c>
      <c r="G82" s="269">
        <f t="shared" si="5"/>
        <v>0</v>
      </c>
      <c r="H82" s="288">
        <f t="shared" si="4"/>
        <v>0.6296122561597763</v>
      </c>
      <c r="J82" s="384"/>
    </row>
    <row r="83" spans="1:10" s="2" customFormat="1" ht="24" customHeight="1">
      <c r="A83" s="298">
        <v>787200</v>
      </c>
      <c r="B83" s="97"/>
      <c r="C83" s="86" t="s">
        <v>582</v>
      </c>
      <c r="D83" s="98">
        <v>0</v>
      </c>
      <c r="E83" s="98">
        <f t="shared" si="6"/>
        <v>500000</v>
      </c>
      <c r="F83" s="98">
        <v>500000</v>
      </c>
      <c r="G83" s="269">
        <f t="shared" si="5"/>
        <v>0</v>
      </c>
      <c r="H83" s="288">
        <f t="shared" si="4"/>
        <v>3.2221712188320186</v>
      </c>
      <c r="J83" s="384"/>
    </row>
    <row r="84" spans="1:10" s="2" customFormat="1" ht="36">
      <c r="A84" s="298">
        <v>787200</v>
      </c>
      <c r="B84" s="97"/>
      <c r="C84" s="86" t="s">
        <v>583</v>
      </c>
      <c r="D84" s="98">
        <v>0</v>
      </c>
      <c r="E84" s="98">
        <f t="shared" si="6"/>
        <v>800000</v>
      </c>
      <c r="F84" s="98">
        <v>800000</v>
      </c>
      <c r="G84" s="269">
        <f t="shared" si="5"/>
        <v>0</v>
      </c>
      <c r="H84" s="288">
        <f t="shared" si="4"/>
        <v>5.155473950131229</v>
      </c>
      <c r="J84" s="384"/>
    </row>
    <row r="85" spans="1:10" s="2" customFormat="1" ht="24" customHeight="1">
      <c r="A85" s="298">
        <v>787200</v>
      </c>
      <c r="B85" s="97"/>
      <c r="C85" s="44" t="s">
        <v>464</v>
      </c>
      <c r="D85" s="98">
        <v>500</v>
      </c>
      <c r="E85" s="98">
        <f t="shared" si="6"/>
        <v>0</v>
      </c>
      <c r="F85" s="98">
        <v>500</v>
      </c>
      <c r="G85" s="269">
        <f t="shared" si="5"/>
        <v>100</v>
      </c>
      <c r="H85" s="288">
        <f t="shared" si="4"/>
        <v>0.0032221712188320183</v>
      </c>
      <c r="J85" s="384"/>
    </row>
    <row r="86" spans="1:10" s="2" customFormat="1" ht="24" customHeight="1">
      <c r="A86" s="298">
        <v>787300</v>
      </c>
      <c r="B86" s="97"/>
      <c r="C86" s="44" t="s">
        <v>479</v>
      </c>
      <c r="D86" s="98">
        <v>500</v>
      </c>
      <c r="E86" s="98">
        <f t="shared" si="6"/>
        <v>0</v>
      </c>
      <c r="F86" s="98">
        <v>500</v>
      </c>
      <c r="G86" s="269">
        <f t="shared" si="5"/>
        <v>100</v>
      </c>
      <c r="H86" s="288">
        <f t="shared" si="4"/>
        <v>0.0032221712188320183</v>
      </c>
      <c r="J86" s="384"/>
    </row>
    <row r="87" spans="1:10" s="2" customFormat="1" ht="24" customHeight="1">
      <c r="A87" s="298">
        <v>787400</v>
      </c>
      <c r="B87" s="97"/>
      <c r="C87" s="44" t="s">
        <v>506</v>
      </c>
      <c r="D87" s="98">
        <v>1500</v>
      </c>
      <c r="E87" s="98">
        <f t="shared" si="6"/>
        <v>-500</v>
      </c>
      <c r="F87" s="98">
        <v>1000</v>
      </c>
      <c r="G87" s="269">
        <f t="shared" si="5"/>
        <v>66.66666666666666</v>
      </c>
      <c r="H87" s="288">
        <f t="shared" si="4"/>
        <v>0.0064443424376640366</v>
      </c>
      <c r="J87" s="384"/>
    </row>
    <row r="88" spans="1:8" ht="15" customHeight="1">
      <c r="A88" s="291">
        <v>810000</v>
      </c>
      <c r="B88" s="23"/>
      <c r="C88" s="163" t="s">
        <v>314</v>
      </c>
      <c r="D88" s="160">
        <f>D89+D91+D93</f>
        <v>105000</v>
      </c>
      <c r="E88" s="160">
        <f>E89+E91+E93</f>
        <v>90000</v>
      </c>
      <c r="F88" s="160">
        <f>F89+F91+F93</f>
        <v>195000</v>
      </c>
      <c r="G88" s="160">
        <f t="shared" si="5"/>
        <v>185.71428571428572</v>
      </c>
      <c r="H88" s="213">
        <f t="shared" si="4"/>
        <v>1.2566467753444872</v>
      </c>
    </row>
    <row r="89" spans="1:8" ht="12.75" customHeight="1" hidden="1">
      <c r="A89" s="291">
        <v>811000</v>
      </c>
      <c r="B89" s="23"/>
      <c r="C89" s="55" t="s">
        <v>193</v>
      </c>
      <c r="D89" s="87">
        <f>SUM(D90:D90)</f>
        <v>0</v>
      </c>
      <c r="E89" s="87">
        <f>SUM(E90:E90)</f>
        <v>0</v>
      </c>
      <c r="F89" s="87">
        <f>SUM(F90:F90)</f>
        <v>0</v>
      </c>
      <c r="G89" s="87">
        <f t="shared" si="5"/>
        <v>0</v>
      </c>
      <c r="H89" s="406">
        <f t="shared" si="4"/>
        <v>0</v>
      </c>
    </row>
    <row r="90" spans="1:8" ht="12" customHeight="1" hidden="1">
      <c r="A90" s="302">
        <v>811120</v>
      </c>
      <c r="B90" s="403" t="s">
        <v>27</v>
      </c>
      <c r="C90" s="86" t="s">
        <v>213</v>
      </c>
      <c r="D90" s="68">
        <v>0</v>
      </c>
      <c r="E90" s="68">
        <f>F90-D90</f>
        <v>0</v>
      </c>
      <c r="F90" s="68">
        <v>0</v>
      </c>
      <c r="G90" s="269">
        <f t="shared" si="5"/>
        <v>0</v>
      </c>
      <c r="H90" s="288">
        <f t="shared" si="4"/>
        <v>0</v>
      </c>
    </row>
    <row r="91" spans="1:8" ht="14.25" customHeight="1">
      <c r="A91" s="291">
        <v>813000</v>
      </c>
      <c r="B91" s="23"/>
      <c r="C91" s="55" t="s">
        <v>180</v>
      </c>
      <c r="D91" s="87">
        <f>SUM(D92:D92)</f>
        <v>100000</v>
      </c>
      <c r="E91" s="87">
        <f>SUM(E92:E92)</f>
        <v>90000</v>
      </c>
      <c r="F91" s="87">
        <f>SUM(F92:F92)</f>
        <v>190000</v>
      </c>
      <c r="G91" s="87">
        <f t="shared" si="5"/>
        <v>190</v>
      </c>
      <c r="H91" s="406">
        <f t="shared" si="4"/>
        <v>1.2244250631561668</v>
      </c>
    </row>
    <row r="92" spans="1:8" ht="14.25" customHeight="1">
      <c r="A92" s="302">
        <v>813110</v>
      </c>
      <c r="B92" s="403" t="s">
        <v>27</v>
      </c>
      <c r="C92" s="86" t="s">
        <v>181</v>
      </c>
      <c r="D92" s="68">
        <v>100000</v>
      </c>
      <c r="E92" s="68">
        <f>F92-D92</f>
        <v>90000</v>
      </c>
      <c r="F92" s="68">
        <v>190000</v>
      </c>
      <c r="G92" s="269">
        <f t="shared" si="5"/>
        <v>190</v>
      </c>
      <c r="H92" s="288">
        <f t="shared" si="4"/>
        <v>1.2244250631561668</v>
      </c>
    </row>
    <row r="93" spans="1:8" ht="24" customHeight="1">
      <c r="A93" s="291">
        <v>816000</v>
      </c>
      <c r="B93" s="23"/>
      <c r="C93" s="55" t="s">
        <v>302</v>
      </c>
      <c r="D93" s="87">
        <f>SUM(D94)</f>
        <v>5000</v>
      </c>
      <c r="E93" s="87">
        <f>SUM(E94)</f>
        <v>0</v>
      </c>
      <c r="F93" s="87">
        <f>SUM(F94)</f>
        <v>5000</v>
      </c>
      <c r="G93" s="87">
        <f t="shared" si="5"/>
        <v>100</v>
      </c>
      <c r="H93" s="406">
        <f t="shared" si="4"/>
        <v>0.032221712188320185</v>
      </c>
    </row>
    <row r="94" spans="1:8" ht="15" customHeight="1">
      <c r="A94" s="298">
        <v>816150</v>
      </c>
      <c r="B94" s="403" t="s">
        <v>36</v>
      </c>
      <c r="C94" s="86" t="s">
        <v>186</v>
      </c>
      <c r="D94" s="68">
        <v>5000</v>
      </c>
      <c r="E94" s="68">
        <f>F94-D94</f>
        <v>0</v>
      </c>
      <c r="F94" s="68">
        <v>5000</v>
      </c>
      <c r="G94" s="269">
        <f t="shared" si="5"/>
        <v>100</v>
      </c>
      <c r="H94" s="288">
        <f t="shared" si="4"/>
        <v>0.032221712188320185</v>
      </c>
    </row>
    <row r="95" spans="1:10" ht="29.25" customHeight="1" thickBot="1">
      <c r="A95" s="182"/>
      <c r="B95" s="404"/>
      <c r="C95" s="183" t="s">
        <v>315</v>
      </c>
      <c r="D95" s="210">
        <f>D5+D88</f>
        <v>13657000</v>
      </c>
      <c r="E95" s="210">
        <f>E5+E88</f>
        <v>1860487</v>
      </c>
      <c r="F95" s="210">
        <f>F5+F88</f>
        <v>15517487</v>
      </c>
      <c r="G95" s="443">
        <f t="shared" si="5"/>
        <v>113.6229552610383</v>
      </c>
      <c r="H95" s="444">
        <f t="shared" si="4"/>
        <v>100</v>
      </c>
      <c r="J95" s="385"/>
    </row>
    <row r="96" spans="1:8" ht="16.5" customHeight="1" thickTop="1">
      <c r="A96" s="145"/>
      <c r="B96" s="145"/>
      <c r="C96" s="242"/>
      <c r="D96" s="241"/>
      <c r="E96" s="241"/>
      <c r="F96" s="241"/>
      <c r="G96" s="241"/>
      <c r="H96"/>
    </row>
    <row r="97" spans="1:8" ht="12" customHeight="1">
      <c r="A97" s="145"/>
      <c r="B97" s="145"/>
      <c r="C97" s="240"/>
      <c r="D97" s="241"/>
      <c r="E97" s="241"/>
      <c r="F97" s="241"/>
      <c r="G97" s="241"/>
      <c r="H97" s="206"/>
    </row>
    <row r="98" spans="1:11" ht="0.75" customHeight="1" hidden="1">
      <c r="A98" s="145"/>
      <c r="B98" s="145"/>
      <c r="C98" s="492" t="s">
        <v>528</v>
      </c>
      <c r="D98" s="241">
        <f>Finansiranje!C13</f>
        <v>7000000</v>
      </c>
      <c r="E98" s="241">
        <f>F98-D98</f>
        <v>0</v>
      </c>
      <c r="F98" s="241">
        <f>Finansiranje!E13</f>
        <v>7000000</v>
      </c>
      <c r="G98" s="241"/>
      <c r="H98" s="206"/>
      <c r="K98" s="1"/>
    </row>
    <row r="99" spans="1:8" ht="15.75" hidden="1">
      <c r="A99" s="145"/>
      <c r="B99" s="145"/>
      <c r="C99" s="492" t="s">
        <v>397</v>
      </c>
      <c r="D99" s="241">
        <f>Finansiranje!C21</f>
        <v>78000</v>
      </c>
      <c r="E99" s="241">
        <f>F99-D99</f>
        <v>-23000</v>
      </c>
      <c r="F99" s="241">
        <f>Finansiranje!E21</f>
        <v>55000</v>
      </c>
      <c r="G99" s="252"/>
      <c r="H99"/>
    </row>
    <row r="100" spans="1:9" ht="13.5" customHeight="1" hidden="1">
      <c r="A100" s="145"/>
      <c r="B100" s="145"/>
      <c r="C100" s="492" t="s">
        <v>529</v>
      </c>
      <c r="D100" s="241">
        <f>Finansiranje!C33</f>
        <v>499381.85</v>
      </c>
      <c r="E100" s="241">
        <f>F100-D100</f>
        <v>119210.15000000002</v>
      </c>
      <c r="F100" s="241">
        <f>Finansiranje!E33</f>
        <v>618592</v>
      </c>
      <c r="G100" s="239"/>
      <c r="H100" s="1"/>
      <c r="I100" s="1"/>
    </row>
    <row r="101" spans="1:8" ht="12.75" hidden="1">
      <c r="A101" s="145"/>
      <c r="B101" s="145"/>
      <c r="C101" s="240"/>
      <c r="D101" s="241"/>
      <c r="E101" s="241">
        <f>SUM(E98:E100)</f>
        <v>96210.15000000002</v>
      </c>
      <c r="F101" s="241">
        <f>SUM(F98:F100)</f>
        <v>7673592</v>
      </c>
      <c r="H101"/>
    </row>
    <row r="102" spans="1:9" ht="15.75" customHeight="1" hidden="1">
      <c r="A102" s="145"/>
      <c r="B102" s="145"/>
      <c r="C102" s="278" t="s">
        <v>530</v>
      </c>
      <c r="D102" s="493">
        <f>D95+D98+D99+D100</f>
        <v>21234381.85</v>
      </c>
      <c r="E102" s="241">
        <f>F102-D102</f>
        <v>1956697.1499999985</v>
      </c>
      <c r="F102" s="493">
        <f>F95+F98+F99+F100</f>
        <v>23191079</v>
      </c>
      <c r="G102" s="252"/>
      <c r="H102" s="1"/>
      <c r="I102" s="1"/>
    </row>
    <row r="103" spans="1:9" ht="12" customHeight="1">
      <c r="A103" s="145"/>
      <c r="B103" s="145"/>
      <c r="C103" s="145"/>
      <c r="D103" s="145"/>
      <c r="E103" s="145"/>
      <c r="F103" s="145"/>
      <c r="G103" s="145"/>
      <c r="H103"/>
      <c r="I103" s="1"/>
    </row>
    <row r="104" spans="1:8" ht="12.75" hidden="1">
      <c r="A104" s="145"/>
      <c r="B104" s="145"/>
      <c r="C104" s="145" t="s">
        <v>568</v>
      </c>
      <c r="D104" s="271">
        <f>Org!E502</f>
        <v>21234381.849999998</v>
      </c>
      <c r="E104" s="271">
        <f>Org!F502</f>
        <v>1956697.15</v>
      </c>
      <c r="F104" s="271">
        <f>Org!G502</f>
        <v>23191079</v>
      </c>
      <c r="G104" s="271"/>
      <c r="H104"/>
    </row>
    <row r="105" spans="1:8" ht="12.75" hidden="1">
      <c r="A105" s="145"/>
      <c r="B105" s="145"/>
      <c r="C105" s="145" t="s">
        <v>569</v>
      </c>
      <c r="D105" s="145">
        <f>D102-D104</f>
        <v>0</v>
      </c>
      <c r="E105" s="145">
        <f>E102-E104</f>
        <v>0</v>
      </c>
      <c r="F105" s="145">
        <f>F102-F104</f>
        <v>0</v>
      </c>
      <c r="H105"/>
    </row>
    <row r="106" spans="1:8" ht="12.75">
      <c r="A106" s="145"/>
      <c r="B106" s="145"/>
      <c r="C106" s="145"/>
      <c r="H106"/>
    </row>
    <row r="107" spans="1:8" ht="15.75" customHeight="1">
      <c r="A107" s="145"/>
      <c r="B107" s="145"/>
      <c r="C107" s="145"/>
      <c r="H107"/>
    </row>
    <row r="108" spans="1:10" ht="12.75">
      <c r="A108" s="145"/>
      <c r="B108" s="145"/>
      <c r="C108" s="145"/>
      <c r="E108" s="145"/>
      <c r="H108"/>
      <c r="I108" s="2"/>
      <c r="J108" s="384"/>
    </row>
    <row r="109" spans="1:8" ht="12.75">
      <c r="A109" s="145"/>
      <c r="B109" s="145"/>
      <c r="C109" s="145"/>
      <c r="H109"/>
    </row>
    <row r="110" spans="1:8" ht="12.75">
      <c r="A110" s="145"/>
      <c r="B110" s="145"/>
      <c r="C110" s="145"/>
      <c r="E110" s="145"/>
      <c r="F110" s="145"/>
      <c r="H110"/>
    </row>
    <row r="111" spans="1:8" ht="12.75" customHeight="1">
      <c r="A111" s="145"/>
      <c r="B111" s="145"/>
      <c r="C111" s="145"/>
      <c r="H111"/>
    </row>
    <row r="112" spans="1:8" ht="12.75">
      <c r="A112" s="145"/>
      <c r="B112" s="145"/>
      <c r="C112" s="145"/>
      <c r="E112" s="145"/>
      <c r="H112"/>
    </row>
    <row r="113" spans="1:8" ht="12.75">
      <c r="A113" s="145"/>
      <c r="B113" s="145"/>
      <c r="C113" s="145"/>
      <c r="H113"/>
    </row>
    <row r="114" spans="1:8" ht="12.75">
      <c r="A114" s="145"/>
      <c r="B114" s="145"/>
      <c r="C114" s="145"/>
      <c r="H114"/>
    </row>
    <row r="115" spans="1:8" ht="12.75">
      <c r="A115" s="145"/>
      <c r="B115" s="145"/>
      <c r="C115" s="145"/>
      <c r="H115"/>
    </row>
    <row r="116" spans="1:8" ht="12.75">
      <c r="A116" s="145"/>
      <c r="B116" s="145"/>
      <c r="C116" s="145"/>
      <c r="H116"/>
    </row>
    <row r="117" spans="1:8" ht="12.75">
      <c r="A117" s="145"/>
      <c r="B117" s="145"/>
      <c r="C117" s="145"/>
      <c r="H117"/>
    </row>
    <row r="118" spans="1:8" ht="12.75">
      <c r="A118" s="145"/>
      <c r="B118" s="145"/>
      <c r="C118" s="145"/>
      <c r="H118"/>
    </row>
    <row r="119" spans="1:8" ht="12.75">
      <c r="A119" s="145"/>
      <c r="B119" s="145"/>
      <c r="C119" s="145"/>
      <c r="H119"/>
    </row>
    <row r="120" spans="1:8" ht="12.75">
      <c r="A120" s="145"/>
      <c r="B120" s="145"/>
      <c r="C120" s="145"/>
      <c r="H120"/>
    </row>
    <row r="121" spans="1:8" ht="12.75">
      <c r="A121" s="145"/>
      <c r="B121" s="145"/>
      <c r="C121" s="145"/>
      <c r="H121"/>
    </row>
    <row r="122" spans="1:8" ht="12.75">
      <c r="A122" s="145"/>
      <c r="B122" s="145"/>
      <c r="C122" s="145"/>
      <c r="H122"/>
    </row>
    <row r="123" spans="1:8" ht="12.75">
      <c r="A123" s="145"/>
      <c r="B123" s="145"/>
      <c r="C123" s="145"/>
      <c r="H123"/>
    </row>
    <row r="124" spans="1:8" ht="12.75">
      <c r="A124" s="145"/>
      <c r="B124" s="145"/>
      <c r="C124" s="145"/>
      <c r="H124"/>
    </row>
    <row r="125" spans="1:8" ht="12.75">
      <c r="A125" s="145"/>
      <c r="B125" s="145"/>
      <c r="C125" s="145"/>
      <c r="H125"/>
    </row>
    <row r="126" spans="1:8" ht="12.75">
      <c r="A126" s="145"/>
      <c r="B126" s="145"/>
      <c r="C126" s="145"/>
      <c r="H126"/>
    </row>
    <row r="127" spans="1:8" ht="12.75">
      <c r="A127" s="145"/>
      <c r="B127" s="145"/>
      <c r="C127" s="145"/>
      <c r="H127"/>
    </row>
    <row r="128" spans="1:8" ht="12.75">
      <c r="A128" s="145"/>
      <c r="B128" s="145"/>
      <c r="C128" s="145"/>
      <c r="H128"/>
    </row>
    <row r="129" spans="1:8" ht="12.75">
      <c r="A129" s="145"/>
      <c r="B129" s="145"/>
      <c r="C129" s="145"/>
      <c r="H129"/>
    </row>
    <row r="130" spans="1:8" ht="12.75">
      <c r="A130" s="145"/>
      <c r="B130" s="145"/>
      <c r="C130" s="145"/>
      <c r="H130"/>
    </row>
    <row r="131" spans="1:8" ht="12.75">
      <c r="A131" s="145"/>
      <c r="B131" s="145"/>
      <c r="C131" s="145"/>
      <c r="H131"/>
    </row>
    <row r="132" spans="1:8" ht="12.75">
      <c r="A132" s="145"/>
      <c r="B132" s="145"/>
      <c r="C132" s="145"/>
      <c r="H132"/>
    </row>
    <row r="133" spans="1:8" ht="12.75">
      <c r="A133" s="145"/>
      <c r="B133" s="145"/>
      <c r="C133" s="145"/>
      <c r="H133"/>
    </row>
    <row r="134" spans="1:8" ht="12.75">
      <c r="A134" s="145"/>
      <c r="B134" s="145"/>
      <c r="C134" s="145"/>
      <c r="H134"/>
    </row>
    <row r="135" spans="1:8" ht="12.75">
      <c r="A135" s="145"/>
      <c r="B135" s="145"/>
      <c r="C135" s="145"/>
      <c r="H135"/>
    </row>
    <row r="136" spans="1:8" ht="12.75">
      <c r="A136" s="145"/>
      <c r="B136" s="145"/>
      <c r="C136" s="145"/>
      <c r="H136"/>
    </row>
    <row r="137" spans="1:8" ht="12.75">
      <c r="A137" s="145"/>
      <c r="B137" s="145"/>
      <c r="C137" s="145"/>
      <c r="H137"/>
    </row>
    <row r="138" spans="1:8" ht="12.75">
      <c r="A138" s="145"/>
      <c r="B138" s="145"/>
      <c r="C138" s="145"/>
      <c r="H138"/>
    </row>
    <row r="139" spans="1:8" ht="12.75">
      <c r="A139" s="145"/>
      <c r="B139" s="145"/>
      <c r="C139" s="145"/>
      <c r="H139"/>
    </row>
    <row r="140" spans="1:8" ht="12.75">
      <c r="A140" s="145"/>
      <c r="B140" s="145"/>
      <c r="C140" s="145"/>
      <c r="H140"/>
    </row>
    <row r="141" spans="1:8" ht="12.75">
      <c r="A141" s="145"/>
      <c r="B141" s="145"/>
      <c r="C141" s="145"/>
      <c r="H141"/>
    </row>
    <row r="142" spans="1:8" ht="12.75">
      <c r="A142" s="145"/>
      <c r="B142" s="145"/>
      <c r="C142" s="145"/>
      <c r="H142"/>
    </row>
    <row r="143" spans="1:8" ht="12.75">
      <c r="A143" s="145"/>
      <c r="B143" s="145"/>
      <c r="C143" s="145"/>
      <c r="H143"/>
    </row>
    <row r="144" spans="1:8" ht="12.75">
      <c r="A144" s="145"/>
      <c r="B144" s="145"/>
      <c r="C144" s="145"/>
      <c r="H144"/>
    </row>
    <row r="145" spans="1:8" ht="12.75">
      <c r="A145" s="145"/>
      <c r="B145" s="145"/>
      <c r="C145" s="145"/>
      <c r="H145"/>
    </row>
    <row r="146" spans="1:8" ht="12.75">
      <c r="A146" s="145"/>
      <c r="B146" s="145"/>
      <c r="C146" s="145"/>
      <c r="H146"/>
    </row>
    <row r="147" spans="1:8" ht="12.75">
      <c r="A147" s="145"/>
      <c r="B147" s="145"/>
      <c r="C147" s="145"/>
      <c r="H147"/>
    </row>
    <row r="148" spans="1:8" ht="12.75">
      <c r="A148" s="145"/>
      <c r="B148" s="145"/>
      <c r="C148" s="145"/>
      <c r="H148"/>
    </row>
    <row r="149" spans="1:8" ht="12.75">
      <c r="A149" s="145"/>
      <c r="B149" s="145"/>
      <c r="C149" s="145"/>
      <c r="H149"/>
    </row>
    <row r="150" spans="1:8" ht="12.75">
      <c r="A150" s="145"/>
      <c r="B150" s="145"/>
      <c r="C150" s="145"/>
      <c r="H150"/>
    </row>
    <row r="151" spans="1:8" ht="12.75">
      <c r="A151" s="145"/>
      <c r="B151" s="145"/>
      <c r="C151" s="145"/>
      <c r="H151"/>
    </row>
    <row r="152" spans="1:8" ht="12.75">
      <c r="A152" s="145"/>
      <c r="B152" s="145"/>
      <c r="C152" s="145"/>
      <c r="H152"/>
    </row>
    <row r="153" spans="1:8" ht="12.75">
      <c r="A153" s="145"/>
      <c r="B153" s="145"/>
      <c r="C153" s="145"/>
      <c r="H153"/>
    </row>
    <row r="154" spans="1:8" ht="12.75">
      <c r="A154" s="145"/>
      <c r="B154" s="145"/>
      <c r="C154" s="145"/>
      <c r="H154"/>
    </row>
    <row r="155" spans="1:8" ht="12.75">
      <c r="A155" s="145"/>
      <c r="B155" s="145"/>
      <c r="C155" s="145"/>
      <c r="H155"/>
    </row>
    <row r="156" spans="1:7" ht="12.75">
      <c r="A156" s="145"/>
      <c r="B156" s="145"/>
      <c r="C156" s="3"/>
      <c r="D156" s="145"/>
      <c r="E156" s="145"/>
      <c r="F156" s="145"/>
      <c r="G156" s="145"/>
    </row>
    <row r="157" spans="1:7" ht="12.75">
      <c r="A157" s="4"/>
      <c r="B157" s="4"/>
      <c r="C157" s="3"/>
      <c r="D157" s="145"/>
      <c r="E157" s="145"/>
      <c r="F157" s="145"/>
      <c r="G157" s="145"/>
    </row>
    <row r="158" spans="1:7" ht="12.75">
      <c r="A158" s="4"/>
      <c r="B158" s="4"/>
      <c r="C158" s="3"/>
      <c r="D158" s="145"/>
      <c r="E158" s="145"/>
      <c r="F158" s="145"/>
      <c r="G158" s="145"/>
    </row>
    <row r="159" spans="1:7" ht="12.75">
      <c r="A159" s="4"/>
      <c r="B159" s="4"/>
      <c r="C159" s="3"/>
      <c r="D159" s="145"/>
      <c r="E159" s="145"/>
      <c r="F159" s="145"/>
      <c r="G159" s="145"/>
    </row>
    <row r="160" spans="1:7" ht="12.75">
      <c r="A160" s="4"/>
      <c r="B160" s="4"/>
      <c r="C160" s="3"/>
      <c r="D160" s="145"/>
      <c r="E160" s="145"/>
      <c r="F160" s="145"/>
      <c r="G160" s="145"/>
    </row>
    <row r="161" spans="1:7" ht="12.75">
      <c r="A161" s="4"/>
      <c r="B161" s="4"/>
      <c r="C161" s="3"/>
      <c r="D161" s="145"/>
      <c r="E161" s="145"/>
      <c r="F161" s="145"/>
      <c r="G161" s="145"/>
    </row>
    <row r="162" spans="1:7" ht="12.75">
      <c r="A162" s="4"/>
      <c r="B162" s="4"/>
      <c r="C162" s="3"/>
      <c r="D162" s="145"/>
      <c r="E162" s="145"/>
      <c r="F162" s="145"/>
      <c r="G162" s="145"/>
    </row>
    <row r="163" spans="1:7" ht="12.75">
      <c r="A163" s="4"/>
      <c r="B163" s="4"/>
      <c r="C163" s="3"/>
      <c r="D163" s="145"/>
      <c r="E163" s="145"/>
      <c r="F163" s="145"/>
      <c r="G163" s="145"/>
    </row>
    <row r="164" spans="1:7" ht="12.75">
      <c r="A164" s="4"/>
      <c r="B164" s="4"/>
      <c r="C164" s="3"/>
      <c r="D164" s="145"/>
      <c r="E164" s="145"/>
      <c r="F164" s="145"/>
      <c r="G164" s="145"/>
    </row>
    <row r="165" spans="1:7" ht="12.75">
      <c r="A165" s="4"/>
      <c r="B165" s="4"/>
      <c r="C165" s="3"/>
      <c r="D165" s="145"/>
      <c r="E165" s="145"/>
      <c r="F165" s="145"/>
      <c r="G165" s="145"/>
    </row>
    <row r="166" spans="1:7" ht="12.75">
      <c r="A166" s="4"/>
      <c r="B166" s="4"/>
      <c r="C166" s="3"/>
      <c r="D166" s="145"/>
      <c r="E166" s="145"/>
      <c r="F166" s="145"/>
      <c r="G166" s="145"/>
    </row>
    <row r="167" spans="1:7" ht="12.75">
      <c r="A167" s="4"/>
      <c r="B167" s="4"/>
      <c r="C167" s="3"/>
      <c r="D167" s="145"/>
      <c r="E167" s="145"/>
      <c r="F167" s="145"/>
      <c r="G167" s="145"/>
    </row>
    <row r="168" spans="1:10" s="143" customFormat="1" ht="12.75">
      <c r="A168" s="4"/>
      <c r="B168" s="4"/>
      <c r="C168" s="3"/>
      <c r="D168" s="145"/>
      <c r="E168" s="145"/>
      <c r="F168" s="145"/>
      <c r="G168" s="145"/>
      <c r="I168"/>
      <c r="J168" s="382"/>
    </row>
    <row r="169" spans="1:10" s="143" customFormat="1" ht="12.75">
      <c r="A169" s="4"/>
      <c r="B169" s="4"/>
      <c r="C169" s="3"/>
      <c r="D169" s="145"/>
      <c r="E169" s="145"/>
      <c r="F169" s="145"/>
      <c r="G169" s="145"/>
      <c r="I169"/>
      <c r="J169" s="382"/>
    </row>
    <row r="170" spans="1:10" s="143" customFormat="1" ht="12.75">
      <c r="A170" s="4"/>
      <c r="B170" s="4"/>
      <c r="C170" s="3"/>
      <c r="D170" s="145"/>
      <c r="E170" s="145"/>
      <c r="F170" s="145"/>
      <c r="G170" s="145"/>
      <c r="I170"/>
      <c r="J170" s="382"/>
    </row>
    <row r="171" spans="1:10" s="143" customFormat="1" ht="12.75">
      <c r="A171" s="4"/>
      <c r="B171" s="4"/>
      <c r="C171" s="3"/>
      <c r="D171" s="145"/>
      <c r="E171" s="145"/>
      <c r="F171" s="145"/>
      <c r="G171" s="145"/>
      <c r="I171"/>
      <c r="J171" s="382"/>
    </row>
    <row r="172" spans="1:10" s="143" customFormat="1" ht="12.75">
      <c r="A172" s="4"/>
      <c r="B172" s="4"/>
      <c r="C172" s="3"/>
      <c r="D172" s="145"/>
      <c r="E172" s="145"/>
      <c r="F172" s="145"/>
      <c r="G172" s="145"/>
      <c r="I172"/>
      <c r="J172" s="382"/>
    </row>
    <row r="173" spans="1:10" s="143" customFormat="1" ht="12.75">
      <c r="A173" s="4"/>
      <c r="B173" s="4"/>
      <c r="C173" s="3"/>
      <c r="D173" s="145"/>
      <c r="E173" s="145"/>
      <c r="F173" s="145"/>
      <c r="G173" s="145"/>
      <c r="I173"/>
      <c r="J173" s="382"/>
    </row>
    <row r="174" spans="1:10" s="143" customFormat="1" ht="12.75">
      <c r="A174" s="4"/>
      <c r="B174" s="4"/>
      <c r="C174" s="3"/>
      <c r="D174" s="145"/>
      <c r="E174" s="145"/>
      <c r="F174" s="145"/>
      <c r="G174" s="145"/>
      <c r="I174"/>
      <c r="J174" s="382"/>
    </row>
    <row r="175" spans="1:10" s="143" customFormat="1" ht="12.75">
      <c r="A175" s="4"/>
      <c r="B175" s="4"/>
      <c r="C175" s="3"/>
      <c r="D175" s="145"/>
      <c r="E175" s="145"/>
      <c r="F175" s="145"/>
      <c r="G175" s="145"/>
      <c r="I175"/>
      <c r="J175" s="382"/>
    </row>
    <row r="176" spans="1:10" s="143" customFormat="1" ht="12.75">
      <c r="A176" s="4"/>
      <c r="B176" s="4"/>
      <c r="C176" s="3"/>
      <c r="D176" s="145"/>
      <c r="E176" s="145"/>
      <c r="F176" s="145"/>
      <c r="G176" s="145"/>
      <c r="I176"/>
      <c r="J176" s="382"/>
    </row>
    <row r="177" spans="1:10" s="143" customFormat="1" ht="12.75">
      <c r="A177" s="4"/>
      <c r="B177" s="4"/>
      <c r="C177" s="3"/>
      <c r="D177" s="145"/>
      <c r="E177" s="145"/>
      <c r="F177" s="145"/>
      <c r="G177" s="145"/>
      <c r="I177"/>
      <c r="J177" s="382"/>
    </row>
    <row r="178" spans="1:10" s="143" customFormat="1" ht="12.75">
      <c r="A178" s="4"/>
      <c r="B178" s="4"/>
      <c r="C178" s="3"/>
      <c r="D178" s="145"/>
      <c r="E178" s="145"/>
      <c r="F178" s="145"/>
      <c r="G178" s="145"/>
      <c r="I178"/>
      <c r="J178" s="382"/>
    </row>
    <row r="179" spans="1:10" s="143" customFormat="1" ht="12.75">
      <c r="A179" s="4"/>
      <c r="B179" s="4"/>
      <c r="C179" s="3"/>
      <c r="D179" s="145"/>
      <c r="E179" s="145"/>
      <c r="F179" s="145"/>
      <c r="G179" s="145"/>
      <c r="I179"/>
      <c r="J179" s="382"/>
    </row>
    <row r="180" spans="1:10" s="143" customFormat="1" ht="12.75">
      <c r="A180" s="4"/>
      <c r="B180" s="4"/>
      <c r="C180" s="3"/>
      <c r="D180" s="145"/>
      <c r="E180" s="145"/>
      <c r="F180" s="145"/>
      <c r="G180" s="145"/>
      <c r="I180"/>
      <c r="J180" s="382"/>
    </row>
    <row r="181" spans="1:10" s="143" customFormat="1" ht="12.75">
      <c r="A181" s="4"/>
      <c r="B181" s="4"/>
      <c r="C181" s="3"/>
      <c r="D181" s="145"/>
      <c r="E181" s="145"/>
      <c r="F181" s="145"/>
      <c r="G181" s="145"/>
      <c r="I181"/>
      <c r="J181" s="382"/>
    </row>
    <row r="182" spans="1:10" s="143" customFormat="1" ht="12.75">
      <c r="A182" s="4"/>
      <c r="B182" s="4"/>
      <c r="C182"/>
      <c r="D182" s="145"/>
      <c r="E182" s="145"/>
      <c r="F182" s="145"/>
      <c r="G182" s="145"/>
      <c r="I182"/>
      <c r="J182" s="382"/>
    </row>
  </sheetData>
  <sheetProtection/>
  <mergeCells count="9">
    <mergeCell ref="F2:F3"/>
    <mergeCell ref="G2:G3"/>
    <mergeCell ref="D2:D3"/>
    <mergeCell ref="H2:H3"/>
    <mergeCell ref="A1:H1"/>
    <mergeCell ref="A2:A3"/>
    <mergeCell ref="C2:C3"/>
    <mergeCell ref="B2:B3"/>
    <mergeCell ref="E2:E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r:id="rId1"/>
  <headerFooter alignWithMargins="0">
    <oddFooter>&amp;R&amp;P</oddFooter>
  </headerFooter>
  <rowBreaks count="5" manualBreakCount="5">
    <brk id="32" max="6" man="1"/>
    <brk id="54" max="6" man="1"/>
    <brk id="81" max="7" man="1"/>
    <brk id="95" max="7" man="1"/>
    <brk id="10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SheetLayoutView="70" workbookViewId="0" topLeftCell="A1">
      <selection activeCell="B65" sqref="B65"/>
    </sheetView>
  </sheetViews>
  <sheetFormatPr defaultColWidth="9.140625" defaultRowHeight="12.75" customHeight="1"/>
  <cols>
    <col min="1" max="1" width="8.8515625" style="0" customWidth="1"/>
    <col min="2" max="2" width="70.28125" style="0" customWidth="1"/>
    <col min="3" max="4" width="14.8515625" style="0" customWidth="1"/>
    <col min="5" max="5" width="15.140625" style="0" customWidth="1"/>
    <col min="6" max="6" width="11.140625" style="0" customWidth="1"/>
    <col min="7" max="7" width="9.421875" style="0" customWidth="1"/>
    <col min="8" max="8" width="19.57421875" style="0" customWidth="1"/>
    <col min="9" max="9" width="10.140625" style="0" bestFit="1" customWidth="1"/>
    <col min="10" max="10" width="11.00390625" style="0" bestFit="1" customWidth="1"/>
  </cols>
  <sheetData>
    <row r="1" spans="1:8" ht="39" customHeight="1" thickBot="1">
      <c r="A1" s="543" t="s">
        <v>545</v>
      </c>
      <c r="B1" s="544"/>
      <c r="C1" s="544"/>
      <c r="D1" s="544"/>
      <c r="E1" s="544"/>
      <c r="F1" s="544"/>
      <c r="G1" s="545"/>
      <c r="H1" s="127"/>
    </row>
    <row r="2" spans="1:7" ht="96.75" customHeight="1" thickTop="1">
      <c r="A2" s="407" t="s">
        <v>63</v>
      </c>
      <c r="B2" s="113" t="s">
        <v>232</v>
      </c>
      <c r="C2" s="408" t="s">
        <v>478</v>
      </c>
      <c r="D2" s="408" t="s">
        <v>539</v>
      </c>
      <c r="E2" s="408" t="s">
        <v>540</v>
      </c>
      <c r="F2" s="408" t="s">
        <v>118</v>
      </c>
      <c r="G2" s="409" t="s">
        <v>222</v>
      </c>
    </row>
    <row r="3" spans="1:7" ht="15.75" customHeight="1">
      <c r="A3" s="211">
        <v>1</v>
      </c>
      <c r="B3" s="303">
        <v>2</v>
      </c>
      <c r="C3" s="304">
        <v>3</v>
      </c>
      <c r="D3" s="304" t="s">
        <v>546</v>
      </c>
      <c r="E3" s="304">
        <v>5</v>
      </c>
      <c r="F3" s="304" t="s">
        <v>543</v>
      </c>
      <c r="G3" s="110">
        <v>7</v>
      </c>
    </row>
    <row r="4" spans="1:8" ht="24" customHeight="1">
      <c r="A4" s="164"/>
      <c r="B4" s="165" t="s">
        <v>414</v>
      </c>
      <c r="C4" s="167">
        <f>C5+C36+C41</f>
        <v>11399200</v>
      </c>
      <c r="D4" s="167">
        <f>D5+D36+D41</f>
        <v>354737</v>
      </c>
      <c r="E4" s="167">
        <f>E5+E36+E41</f>
        <v>11753937</v>
      </c>
      <c r="F4" s="167">
        <f>IF(C4&gt;0,E4/C4*100,0)</f>
        <v>103.11194645238263</v>
      </c>
      <c r="G4" s="166">
        <f>E4/$E$52*100</f>
        <v>72.139482934999</v>
      </c>
      <c r="H4" s="1"/>
    </row>
    <row r="5" spans="1:8" ht="15.75" customHeight="1">
      <c r="A5" s="256">
        <v>410000</v>
      </c>
      <c r="B5" s="141" t="s">
        <v>420</v>
      </c>
      <c r="C5" s="195">
        <f>C6+C11+C21+C25+C27+C29+C32+C34</f>
        <v>11057500</v>
      </c>
      <c r="D5" s="195">
        <f>D6+D11+D21+D25+D27+D29+D32+D34</f>
        <v>504722</v>
      </c>
      <c r="E5" s="195">
        <f>E6+E11+E21+E25+E27+E29+E32+E34</f>
        <v>11562222</v>
      </c>
      <c r="F5" s="195">
        <f aca="true" t="shared" si="0" ref="F5:F52">IF(C5&gt;0,E5/C5*100,0)</f>
        <v>104.56452181777074</v>
      </c>
      <c r="G5" s="410">
        <f aca="true" t="shared" si="1" ref="G5:G52">E5/$E$52*100</f>
        <v>70.96283710382913</v>
      </c>
      <c r="H5" s="1"/>
    </row>
    <row r="6" spans="1:10" ht="15.75" customHeight="1">
      <c r="A6" s="199">
        <v>411000</v>
      </c>
      <c r="B6" s="115" t="s">
        <v>409</v>
      </c>
      <c r="C6" s="123">
        <f>SUM(C7:C10)</f>
        <v>3861000</v>
      </c>
      <c r="D6" s="123">
        <f>SUM(D7:D10)</f>
        <v>303330</v>
      </c>
      <c r="E6" s="123">
        <f>SUM(E7:E10)</f>
        <v>4164330</v>
      </c>
      <c r="F6" s="123">
        <f t="shared" si="0"/>
        <v>107.85625485625485</v>
      </c>
      <c r="G6" s="281">
        <f t="shared" si="1"/>
        <v>25.55846717322922</v>
      </c>
      <c r="H6" s="1"/>
      <c r="I6" s="1"/>
      <c r="J6" s="90"/>
    </row>
    <row r="7" spans="1:10" ht="13.5" customHeight="1">
      <c r="A7" s="198">
        <v>411100</v>
      </c>
      <c r="B7" s="254" t="s">
        <v>403</v>
      </c>
      <c r="C7" s="124">
        <f>SUMIF(Org!$C$10:Org!$D$500,411100,Org!E$10:Org!E$501)</f>
        <v>2851000</v>
      </c>
      <c r="D7" s="124">
        <f>SUMIF(Org!$C$10:Org!$D$500,411100,Org!F$10:Org!F$501)</f>
        <v>432000</v>
      </c>
      <c r="E7" s="124">
        <f>SUMIF(Org!$C$10:Org!$D$500,411100,Org!G$10:Org!G$501)</f>
        <v>3283000</v>
      </c>
      <c r="F7" s="312">
        <f t="shared" si="0"/>
        <v>115.152578042792</v>
      </c>
      <c r="G7" s="313">
        <f t="shared" si="1"/>
        <v>20.149327197823308</v>
      </c>
      <c r="H7" s="1"/>
      <c r="I7" s="1"/>
      <c r="J7" s="90"/>
    </row>
    <row r="8" spans="1:10" ht="25.5" customHeight="1">
      <c r="A8" s="198">
        <v>411200</v>
      </c>
      <c r="B8" s="255" t="s">
        <v>410</v>
      </c>
      <c r="C8" s="124">
        <f>SUMIF(Org!$C$8:Org!$D$500,411200,Org!E$8:Org!E$502)</f>
        <v>756500</v>
      </c>
      <c r="D8" s="124">
        <f>SUMIF(Org!$C$8:Org!$D$500,411200,Org!F$8:Org!F$502)</f>
        <v>32230</v>
      </c>
      <c r="E8" s="124">
        <f>SUMIF(Org!$C$8:Org!$D$500,411200,Org!G$8:Org!G$502)</f>
        <v>788730</v>
      </c>
      <c r="F8" s="312">
        <f t="shared" si="0"/>
        <v>104.26040978189029</v>
      </c>
      <c r="G8" s="313">
        <f t="shared" si="1"/>
        <v>4.840809881431367</v>
      </c>
      <c r="H8" s="1"/>
      <c r="I8" s="1"/>
      <c r="J8" s="90"/>
    </row>
    <row r="9" spans="1:10" ht="14.25" customHeight="1">
      <c r="A9" s="198">
        <v>411300</v>
      </c>
      <c r="B9" s="254" t="s">
        <v>404</v>
      </c>
      <c r="C9" s="124">
        <f>SUMIF(Org!$C$10:Org!$D$500,411300,Org!E$10:Org!E$502)</f>
        <v>38000</v>
      </c>
      <c r="D9" s="124">
        <f>SUMIF(Org!$C$10:Org!$D$500,411300,Org!F$10:Org!F$502)</f>
        <v>22200</v>
      </c>
      <c r="E9" s="124">
        <f>SUMIF(Org!$C$10:Org!$D$500,411300,Org!G$10:Org!G$502)</f>
        <v>60200</v>
      </c>
      <c r="F9" s="312">
        <f t="shared" si="0"/>
        <v>158.42105263157896</v>
      </c>
      <c r="G9" s="313">
        <f t="shared" si="1"/>
        <v>0.3694759358236257</v>
      </c>
      <c r="H9" s="1"/>
      <c r="I9" s="1"/>
      <c r="J9" s="90"/>
    </row>
    <row r="10" spans="1:10" ht="14.25" customHeight="1">
      <c r="A10" s="198">
        <v>411400</v>
      </c>
      <c r="B10" s="254" t="s">
        <v>405</v>
      </c>
      <c r="C10" s="124">
        <f>SUMIF(Org!$C$10:Org!$D$500,411400,Org!E$10:Org!E$502)</f>
        <v>215500</v>
      </c>
      <c r="D10" s="124">
        <f>SUMIF(Org!$C$10:Org!$D$500,411400,Org!F$10:Org!F$502)</f>
        <v>-183100</v>
      </c>
      <c r="E10" s="124">
        <f>SUMIF(Org!$C$10:Org!$D$500,411400,Org!G$10:Org!G$502)</f>
        <v>32400</v>
      </c>
      <c r="F10" s="312">
        <f t="shared" si="0"/>
        <v>15.034802784222737</v>
      </c>
      <c r="G10" s="313">
        <f t="shared" si="1"/>
        <v>0.19885415815092147</v>
      </c>
      <c r="H10" s="1"/>
      <c r="I10" s="1"/>
      <c r="J10" s="90"/>
    </row>
    <row r="11" spans="1:8" ht="15.75" customHeight="1">
      <c r="A11" s="199">
        <v>412000</v>
      </c>
      <c r="B11" s="116" t="s">
        <v>142</v>
      </c>
      <c r="C11" s="123">
        <f>SUM(C12:C20)</f>
        <v>2593050</v>
      </c>
      <c r="D11" s="123">
        <f>SUM(D12:D20)</f>
        <v>91690</v>
      </c>
      <c r="E11" s="123">
        <f>SUM(E12:E20)</f>
        <v>2684740</v>
      </c>
      <c r="F11" s="123">
        <f t="shared" si="0"/>
        <v>103.53599043597308</v>
      </c>
      <c r="G11" s="281">
        <f t="shared" si="1"/>
        <v>16.477521992410647</v>
      </c>
      <c r="H11" s="1"/>
    </row>
    <row r="12" spans="1:14" ht="15" customHeight="1">
      <c r="A12" s="200">
        <v>412100</v>
      </c>
      <c r="B12" s="117" t="s">
        <v>143</v>
      </c>
      <c r="C12" s="124">
        <f>SUMIF(Org!$C$10:Org!$D$500,412100,Org!E$10:Org!E$501)</f>
        <v>52850</v>
      </c>
      <c r="D12" s="124">
        <f>SUMIF(Org!$C$10:Org!$D$500,412100,Org!F$10:Org!F$501)</f>
        <v>0</v>
      </c>
      <c r="E12" s="124">
        <f>SUMIF(Org!$C$10:Org!$D$500,412100,Org!G$10:Org!G$501)</f>
        <v>52850</v>
      </c>
      <c r="F12" s="312">
        <f t="shared" si="0"/>
        <v>100</v>
      </c>
      <c r="G12" s="313">
        <f t="shared" si="1"/>
        <v>0.32436550179864815</v>
      </c>
      <c r="J12" s="1"/>
      <c r="K12" s="1"/>
      <c r="L12" s="1"/>
      <c r="M12" s="1"/>
      <c r="N12" s="1"/>
    </row>
    <row r="13" spans="1:14" ht="27" customHeight="1">
      <c r="A13" s="200">
        <v>412200</v>
      </c>
      <c r="B13" s="117" t="s">
        <v>144</v>
      </c>
      <c r="C13" s="124">
        <f>SUMIF(Org!$C$10:Org!$D$500,412200,Org!E$10:Org!E$501)</f>
        <v>444400</v>
      </c>
      <c r="D13" s="124">
        <f>SUMIF(Org!$C$10:Org!$D$500,412200,Org!F$10:Org!F$501)</f>
        <v>-15435</v>
      </c>
      <c r="E13" s="124">
        <f>SUMIF(Org!$C$10:Org!$D$500,412200,Org!G$10:Org!G$501)</f>
        <v>428965</v>
      </c>
      <c r="F13" s="312">
        <f t="shared" si="0"/>
        <v>96.52677767776777</v>
      </c>
      <c r="G13" s="313">
        <f t="shared" si="1"/>
        <v>2.632761541704013</v>
      </c>
      <c r="J13" s="1"/>
      <c r="K13" s="1"/>
      <c r="L13" s="1"/>
      <c r="M13" s="1"/>
      <c r="N13" s="1"/>
    </row>
    <row r="14" spans="1:14" ht="14.25" customHeight="1">
      <c r="A14" s="200">
        <v>412300</v>
      </c>
      <c r="B14" s="118" t="s">
        <v>145</v>
      </c>
      <c r="C14" s="124">
        <f>SUMIF(Org!$C$10:Org!$D$500,412300,Org!E$10:Org!E$501)</f>
        <v>80700</v>
      </c>
      <c r="D14" s="124">
        <f>SUMIF(Org!$C$10:Org!$D$500,412300,Org!F$10:Org!F$501)</f>
        <v>80</v>
      </c>
      <c r="E14" s="124">
        <f>SUMIF(Org!$C$10:Org!$D$500,412300,Org!G$10:Org!G$501)</f>
        <v>80780</v>
      </c>
      <c r="F14" s="312">
        <f t="shared" si="0"/>
        <v>100.09913258983892</v>
      </c>
      <c r="G14" s="313">
        <f t="shared" si="1"/>
        <v>0.4957851510935628</v>
      </c>
      <c r="J14" s="1"/>
      <c r="K14" s="1"/>
      <c r="L14" s="1"/>
      <c r="M14" s="1"/>
      <c r="N14" s="1"/>
    </row>
    <row r="15" spans="1:14" ht="14.25" customHeight="1">
      <c r="A15" s="200">
        <v>412400</v>
      </c>
      <c r="B15" s="118" t="s">
        <v>146</v>
      </c>
      <c r="C15" s="124">
        <f>SUMIF(Org!$C$10:Org!$D$500,412400,Org!E$10:Org!E$501)</f>
        <v>84200</v>
      </c>
      <c r="D15" s="124">
        <f>SUMIF(Org!$C$10:Org!$D$500,412400,Org!F$10:Org!F$501)</f>
        <v>-25805</v>
      </c>
      <c r="E15" s="124">
        <f>SUMIF(Org!$C$10:Org!$D$500,412400,Org!G$10:Org!G$501)</f>
        <v>58395</v>
      </c>
      <c r="F15" s="312">
        <f t="shared" si="0"/>
        <v>69.35273159144893</v>
      </c>
      <c r="G15" s="313">
        <f t="shared" si="1"/>
        <v>0.3583977952229339</v>
      </c>
      <c r="J15" s="1"/>
      <c r="K15" s="1"/>
      <c r="L15" s="1"/>
      <c r="M15" s="1"/>
      <c r="N15" s="1"/>
    </row>
    <row r="16" spans="1:14" ht="13.5" customHeight="1">
      <c r="A16" s="200">
        <v>412500</v>
      </c>
      <c r="B16" s="118" t="s">
        <v>147</v>
      </c>
      <c r="C16" s="124">
        <f>SUMIF(Org!$C$10:Org!$D$500,412500,Org!E$10:Org!E$501)</f>
        <v>422000</v>
      </c>
      <c r="D16" s="124">
        <f>SUMIF(Org!$C$10:Org!$D$500,412500,Org!F$10:Org!F$501)</f>
        <v>-69700</v>
      </c>
      <c r="E16" s="124">
        <f>SUMIF(Org!$C$10:Org!$D$500,412500,Org!G$10:Org!G$501)</f>
        <v>352300</v>
      </c>
      <c r="F16" s="312">
        <f t="shared" si="0"/>
        <v>83.48341232227489</v>
      </c>
      <c r="G16" s="313">
        <f t="shared" si="1"/>
        <v>2.162232096190421</v>
      </c>
      <c r="J16" s="1"/>
      <c r="K16" s="1"/>
      <c r="L16" s="1"/>
      <c r="M16" s="1"/>
      <c r="N16" s="1"/>
    </row>
    <row r="17" spans="1:14" ht="12.75" customHeight="1">
      <c r="A17" s="200">
        <v>412600</v>
      </c>
      <c r="B17" s="118" t="s">
        <v>148</v>
      </c>
      <c r="C17" s="124">
        <f>SUMIF(Org!$C$10:Org!$D$500,412600,Org!E$10:Org!E$501)</f>
        <v>10100</v>
      </c>
      <c r="D17" s="124">
        <f>SUMIF(Org!$C$10:Org!$D$500,412600,Org!F$10:Org!F$501)</f>
        <v>491.5</v>
      </c>
      <c r="E17" s="124">
        <f>SUMIF(Org!$C$10:Org!$D$500,412600,Org!G$10:Org!G$501)</f>
        <v>10591.5</v>
      </c>
      <c r="F17" s="312">
        <f t="shared" si="0"/>
        <v>104.86633663366337</v>
      </c>
      <c r="G17" s="313">
        <f t="shared" si="1"/>
        <v>0.06500505605109522</v>
      </c>
      <c r="J17" s="1"/>
      <c r="K17" s="1"/>
      <c r="L17" s="1"/>
      <c r="M17" s="1"/>
      <c r="N17" s="1"/>
    </row>
    <row r="18" spans="1:14" ht="12.75" customHeight="1">
      <c r="A18" s="200">
        <v>412700</v>
      </c>
      <c r="B18" s="117" t="s">
        <v>149</v>
      </c>
      <c r="C18" s="124">
        <f>SUMIF(Org!$C$10:Org!$D$500,412700,Org!E$10:Org!E$501)</f>
        <v>361600</v>
      </c>
      <c r="D18" s="124">
        <f>SUMIF(Org!$C$10:Org!$D$500,412700,Org!F$10:Org!F$501)</f>
        <v>5433.5</v>
      </c>
      <c r="E18" s="124">
        <f>SUMIF(Org!$C$10:Org!$D$500,412700,Org!G$10:Org!G$501)</f>
        <v>367033.5</v>
      </c>
      <c r="F18" s="312">
        <f t="shared" si="0"/>
        <v>101.50262721238938</v>
      </c>
      <c r="G18" s="313">
        <f t="shared" si="1"/>
        <v>2.2526585696199453</v>
      </c>
      <c r="J18" s="1"/>
      <c r="K18" s="1"/>
      <c r="L18" s="1"/>
      <c r="M18" s="1"/>
      <c r="N18" s="1"/>
    </row>
    <row r="19" spans="1:14" ht="15" customHeight="1">
      <c r="A19" s="201">
        <v>412800</v>
      </c>
      <c r="B19" s="156" t="s">
        <v>150</v>
      </c>
      <c r="C19" s="124">
        <f>SUMIF(Org!$C$10:Org!$D$500,412800,Org!E$10:Org!E$501)</f>
        <v>585000</v>
      </c>
      <c r="D19" s="124">
        <f>SUMIF(Org!$C$10:Org!$D$500,412800,Org!F$10:Org!F$501)</f>
        <v>166000</v>
      </c>
      <c r="E19" s="124">
        <f>SUMIF(Org!$C$10:Org!$D$500,412800,Org!G$10:Org!G$501)</f>
        <v>751000</v>
      </c>
      <c r="F19" s="312">
        <f t="shared" si="0"/>
        <v>128.3760683760684</v>
      </c>
      <c r="G19" s="313">
        <f t="shared" si="1"/>
        <v>4.609242986769815</v>
      </c>
      <c r="J19" s="1"/>
      <c r="K19" s="1"/>
      <c r="L19" s="1"/>
      <c r="M19" s="1"/>
      <c r="N19" s="1"/>
    </row>
    <row r="20" spans="1:14" ht="12.75" customHeight="1">
      <c r="A20" s="201">
        <v>412900</v>
      </c>
      <c r="B20" s="157" t="s">
        <v>411</v>
      </c>
      <c r="C20" s="124">
        <f>SUMIF(Org!$C$10:Org!$D$500,412900,Org!E$10:Org!E$501)</f>
        <v>552200</v>
      </c>
      <c r="D20" s="124">
        <f>SUMIF(Org!$C$10:Org!$D$500,412900,Org!F$10:Org!F$501)</f>
        <v>30625</v>
      </c>
      <c r="E20" s="124">
        <f>SUMIF(Org!$C$10:Org!$D$500,412900,Org!G$10:Org!G$501)</f>
        <v>582825</v>
      </c>
      <c r="F20" s="312">
        <f t="shared" si="0"/>
        <v>105.54599782687433</v>
      </c>
      <c r="G20" s="313">
        <f t="shared" si="1"/>
        <v>3.57707329396021</v>
      </c>
      <c r="J20" s="1"/>
      <c r="K20" s="1"/>
      <c r="L20" s="1"/>
      <c r="M20" s="1"/>
      <c r="N20" s="1"/>
    </row>
    <row r="21" spans="1:14" ht="15.75" customHeight="1">
      <c r="A21" s="199">
        <v>413000</v>
      </c>
      <c r="B21" s="120" t="s">
        <v>152</v>
      </c>
      <c r="C21" s="125">
        <f>SUM(C22:C24)</f>
        <v>286500</v>
      </c>
      <c r="D21" s="125">
        <f>SUM(D22:D24)</f>
        <v>-35228</v>
      </c>
      <c r="E21" s="125">
        <f>SUM(E22:E24)</f>
        <v>251272</v>
      </c>
      <c r="F21" s="125">
        <f t="shared" si="0"/>
        <v>87.70401396160558</v>
      </c>
      <c r="G21" s="411">
        <f t="shared" si="1"/>
        <v>1.5421753712005661</v>
      </c>
      <c r="H21" s="1"/>
      <c r="J21" s="1"/>
      <c r="K21" s="1"/>
      <c r="L21" s="1"/>
      <c r="M21" s="1"/>
      <c r="N21" s="1"/>
    </row>
    <row r="22" spans="1:14" ht="16.5" customHeight="1">
      <c r="A22" s="198">
        <v>413300</v>
      </c>
      <c r="B22" s="117" t="s">
        <v>153</v>
      </c>
      <c r="C22" s="126">
        <f>SUMIF(Org!$C$10:Org!$D$500,413300,Org!E$10:Org!E$501)</f>
        <v>250500</v>
      </c>
      <c r="D22" s="126">
        <f>SUMIF(Org!$C$10:Org!$D$500,413300,Org!F$10:Org!F$501)</f>
        <v>-24728</v>
      </c>
      <c r="E22" s="126">
        <f>SUMIF(Org!$C$10:Org!$D$500,413300,Org!G$10:Org!G$501)</f>
        <v>225772</v>
      </c>
      <c r="F22" s="312">
        <f t="shared" si="0"/>
        <v>90.12854291417166</v>
      </c>
      <c r="G22" s="313">
        <f t="shared" si="1"/>
        <v>1.3856697837669705</v>
      </c>
      <c r="J22" s="1"/>
      <c r="K22" s="1"/>
      <c r="L22" s="1"/>
      <c r="M22" s="1"/>
      <c r="N22" s="1"/>
    </row>
    <row r="23" spans="1:14" ht="15" customHeight="1">
      <c r="A23" s="198">
        <v>413400</v>
      </c>
      <c r="B23" s="117" t="s">
        <v>154</v>
      </c>
      <c r="C23" s="126">
        <f>SUMIF(Org!$C$10:Org!$D$500,413400,Org!E$10:Org!E$501)</f>
        <v>0</v>
      </c>
      <c r="D23" s="126">
        <f>SUMIF(Org!$C$10:Org!$D$500,413400,Org!F$10:Org!F$501)</f>
        <v>0</v>
      </c>
      <c r="E23" s="126">
        <f>SUMIF(Org!$C$10:Org!$D$500,413400,Org!G$10:Org!G$501)</f>
        <v>0</v>
      </c>
      <c r="F23" s="312">
        <f t="shared" si="0"/>
        <v>0</v>
      </c>
      <c r="G23" s="313">
        <f t="shared" si="1"/>
        <v>0</v>
      </c>
      <c r="J23" s="1"/>
      <c r="K23" s="1"/>
      <c r="L23" s="1"/>
      <c r="M23" s="1"/>
      <c r="N23" s="1"/>
    </row>
    <row r="24" spans="1:14" ht="13.5" customHeight="1">
      <c r="A24" s="198">
        <v>413700</v>
      </c>
      <c r="B24" s="117" t="s">
        <v>155</v>
      </c>
      <c r="C24" s="126">
        <f>SUMIF(Org!$C$10:Org!$D$500,413700,Org!E$10:Org!E$501)</f>
        <v>36000</v>
      </c>
      <c r="D24" s="126">
        <f>SUMIF(Org!$C$10:Org!$D$500,413700,Org!F$10:Org!F$501)</f>
        <v>-10500</v>
      </c>
      <c r="E24" s="126">
        <f>SUMIF(Org!$C$10:Org!$D$500,413700,Org!G$10:Org!G$501)</f>
        <v>25500</v>
      </c>
      <c r="F24" s="275">
        <f t="shared" si="0"/>
        <v>70.83333333333334</v>
      </c>
      <c r="G24" s="470">
        <f t="shared" si="1"/>
        <v>0.1565055874335956</v>
      </c>
      <c r="J24" s="1"/>
      <c r="K24" s="1"/>
      <c r="L24" s="1"/>
      <c r="M24" s="1"/>
      <c r="N24" s="1"/>
    </row>
    <row r="25" spans="1:14" ht="15.75" customHeight="1">
      <c r="A25" s="199">
        <v>414000</v>
      </c>
      <c r="B25" s="115" t="s">
        <v>197</v>
      </c>
      <c r="C25" s="123">
        <f>SUM(C26)</f>
        <v>410000</v>
      </c>
      <c r="D25" s="123">
        <f>SUM(D26)</f>
        <v>0</v>
      </c>
      <c r="E25" s="123">
        <f>SUM(E26)</f>
        <v>410000</v>
      </c>
      <c r="F25" s="123">
        <f t="shared" si="0"/>
        <v>100</v>
      </c>
      <c r="G25" s="281">
        <f t="shared" si="1"/>
        <v>2.516364346971537</v>
      </c>
      <c r="H25" s="1"/>
      <c r="J25" s="1"/>
      <c r="K25" s="1"/>
      <c r="L25" s="1"/>
      <c r="M25" s="1"/>
      <c r="N25" s="1"/>
    </row>
    <row r="26" spans="1:14" ht="15" customHeight="1">
      <c r="A26" s="198">
        <v>414100</v>
      </c>
      <c r="B26" s="117" t="s">
        <v>197</v>
      </c>
      <c r="C26" s="126">
        <f>SUMIF(Org!$C$10:Org!$D$500,414100,Org!E$10:Org!E$501)</f>
        <v>410000</v>
      </c>
      <c r="D26" s="126">
        <f>SUMIF(Org!$C$10:Org!$D$500,414100,Org!F$10:Org!F$501)</f>
        <v>0</v>
      </c>
      <c r="E26" s="126">
        <f>SUMIF(Org!$C$10:Org!$D$500,414100,Org!G$10:Org!G$501)</f>
        <v>410000</v>
      </c>
      <c r="F26" s="312">
        <f t="shared" si="0"/>
        <v>100</v>
      </c>
      <c r="G26" s="313">
        <f t="shared" si="1"/>
        <v>2.516364346971537</v>
      </c>
      <c r="J26" s="1"/>
      <c r="K26" s="1"/>
      <c r="L26" s="1"/>
      <c r="M26" s="1"/>
      <c r="N26" s="1"/>
    </row>
    <row r="27" spans="1:14" ht="15.75" customHeight="1">
      <c r="A27" s="199">
        <v>415000</v>
      </c>
      <c r="B27" s="116" t="s">
        <v>156</v>
      </c>
      <c r="C27" s="123">
        <f>SUM(C28)</f>
        <v>1063800</v>
      </c>
      <c r="D27" s="123">
        <f>SUM(D28)</f>
        <v>119906</v>
      </c>
      <c r="E27" s="123">
        <f>SUM(E28)</f>
        <v>1183706</v>
      </c>
      <c r="F27" s="123">
        <f t="shared" si="0"/>
        <v>111.27147960142885</v>
      </c>
      <c r="G27" s="281">
        <f t="shared" si="1"/>
        <v>7.26496481877144</v>
      </c>
      <c r="J27" s="1"/>
      <c r="K27" s="1"/>
      <c r="L27" s="1"/>
      <c r="M27" s="1"/>
      <c r="N27" s="1"/>
    </row>
    <row r="28" spans="1:14" ht="15" customHeight="1">
      <c r="A28" s="201">
        <v>415200</v>
      </c>
      <c r="B28" s="119" t="s">
        <v>157</v>
      </c>
      <c r="C28" s="124">
        <f>SUMIF(Org!$C$10:Org!$D$500,415200,Org!E$10:Org!E$501)</f>
        <v>1063800</v>
      </c>
      <c r="D28" s="124">
        <f>SUMIF(Org!$C$10:Org!$D$500,415200,Org!F$10:Org!F$501)</f>
        <v>119906</v>
      </c>
      <c r="E28" s="124">
        <f>SUMIF(Org!$C$10:Org!$D$500,415200,Org!G$10:Org!G$501)</f>
        <v>1183706</v>
      </c>
      <c r="F28" s="312">
        <f t="shared" si="0"/>
        <v>111.27147960142885</v>
      </c>
      <c r="G28" s="313">
        <f t="shared" si="1"/>
        <v>7.26496481877144</v>
      </c>
      <c r="H28" s="1"/>
      <c r="J28" s="1"/>
      <c r="K28" s="1"/>
      <c r="L28" s="1"/>
      <c r="M28" s="1"/>
      <c r="N28" s="1"/>
    </row>
    <row r="29" spans="1:14" ht="15" customHeight="1">
      <c r="A29" s="199">
        <v>416000</v>
      </c>
      <c r="B29" s="115" t="s">
        <v>165</v>
      </c>
      <c r="C29" s="123">
        <f>SUM(C30:C31)</f>
        <v>2685000</v>
      </c>
      <c r="D29" s="123">
        <f>SUM(D30:D31)</f>
        <v>23714</v>
      </c>
      <c r="E29" s="123">
        <f>SUM(E30:E31)</f>
        <v>2708714</v>
      </c>
      <c r="F29" s="123">
        <f t="shared" si="0"/>
        <v>100.88320297951583</v>
      </c>
      <c r="G29" s="281">
        <f t="shared" si="1"/>
        <v>16.624661794494294</v>
      </c>
      <c r="H29" s="1"/>
      <c r="J29" s="1"/>
      <c r="K29" s="1"/>
      <c r="L29" s="1"/>
      <c r="M29" s="1"/>
      <c r="N29" s="1"/>
    </row>
    <row r="30" spans="1:10" ht="15.75" customHeight="1">
      <c r="A30" s="198">
        <v>416100</v>
      </c>
      <c r="B30" s="117" t="s">
        <v>158</v>
      </c>
      <c r="C30" s="124">
        <f>SUMIF(Org!$C$10:Org!$D$500,416100,Org!E$10:Org!E$501)</f>
        <v>2255000</v>
      </c>
      <c r="D30" s="124">
        <f>SUMIF(Org!$C$10:Org!$D$500,416100,Org!F$10:Org!F$501)</f>
        <v>14714</v>
      </c>
      <c r="E30" s="124">
        <f>SUMIF(Org!$C$10:Org!$D$500,416100,Org!G$10:Org!G$501)</f>
        <v>2269714</v>
      </c>
      <c r="F30" s="312">
        <f t="shared" si="0"/>
        <v>100.65250554323725</v>
      </c>
      <c r="G30" s="313">
        <f t="shared" si="1"/>
        <v>13.930310701029647</v>
      </c>
      <c r="J30" s="1"/>
    </row>
    <row r="31" spans="1:7" ht="27" customHeight="1">
      <c r="A31" s="198">
        <v>416300</v>
      </c>
      <c r="B31" s="117" t="s">
        <v>159</v>
      </c>
      <c r="C31" s="124">
        <f>SUMIF(Org!$C$10:Org!$D$500,416300,Org!E$10:Org!E$501)</f>
        <v>430000</v>
      </c>
      <c r="D31" s="124">
        <f>SUMIF(Org!$C$10:Org!$D$500,416300,Org!F$10:Org!F$501)</f>
        <v>9000</v>
      </c>
      <c r="E31" s="124">
        <f>SUMIF(Org!$C$10:Org!$D$500,416300,Org!G$10:Org!G$501)</f>
        <v>439000</v>
      </c>
      <c r="F31" s="312">
        <f t="shared" si="0"/>
        <v>102.09302325581395</v>
      </c>
      <c r="G31" s="313">
        <f t="shared" si="1"/>
        <v>2.694351093464646</v>
      </c>
    </row>
    <row r="32" spans="1:7" ht="27" customHeight="1">
      <c r="A32" s="199">
        <v>418000</v>
      </c>
      <c r="B32" s="115" t="s">
        <v>512</v>
      </c>
      <c r="C32" s="123">
        <f>SUM(C33)</f>
        <v>4000</v>
      </c>
      <c r="D32" s="123">
        <f>SUM(D33)</f>
        <v>0</v>
      </c>
      <c r="E32" s="123">
        <f>SUM(E33)</f>
        <v>4000</v>
      </c>
      <c r="F32" s="123">
        <f t="shared" si="0"/>
        <v>100</v>
      </c>
      <c r="G32" s="281">
        <f t="shared" si="1"/>
        <v>0.024549896068014998</v>
      </c>
    </row>
    <row r="33" spans="1:7" ht="18" customHeight="1">
      <c r="A33" s="198">
        <v>418100</v>
      </c>
      <c r="B33" s="305" t="s">
        <v>515</v>
      </c>
      <c r="C33" s="124">
        <f>SUMIF(Org!$C$10:Org!$D$500,418100,Org!E$10:Org!E$501)</f>
        <v>4000</v>
      </c>
      <c r="D33" s="124">
        <f>SUMIF(Org!$C$10:Org!$D$500,418100,Org!F$10:Org!F$501)</f>
        <v>0</v>
      </c>
      <c r="E33" s="124">
        <f>SUMIF(Org!$C$10:Org!$D$500,418100,Org!G$10:Org!G$501)</f>
        <v>4000</v>
      </c>
      <c r="F33" s="312">
        <f t="shared" si="0"/>
        <v>100</v>
      </c>
      <c r="G33" s="313">
        <f t="shared" si="1"/>
        <v>0.024549896068014998</v>
      </c>
    </row>
    <row r="34" spans="1:7" ht="16.5" customHeight="1">
      <c r="A34" s="199">
        <v>419000</v>
      </c>
      <c r="B34" s="115" t="s">
        <v>390</v>
      </c>
      <c r="C34" s="123">
        <f>SUM(C35)</f>
        <v>154150</v>
      </c>
      <c r="D34" s="123">
        <f>SUM(D35)</f>
        <v>1310</v>
      </c>
      <c r="E34" s="123">
        <f>SUM(E35)</f>
        <v>155460</v>
      </c>
      <c r="F34" s="123">
        <f t="shared" si="0"/>
        <v>100.84982160233538</v>
      </c>
      <c r="G34" s="281">
        <f t="shared" si="1"/>
        <v>0.9541317106834029</v>
      </c>
    </row>
    <row r="35" spans="1:8" ht="17.25" customHeight="1">
      <c r="A35" s="198">
        <v>419100</v>
      </c>
      <c r="B35" s="305" t="s">
        <v>390</v>
      </c>
      <c r="C35" s="124">
        <f>SUMIF(Org!$C$10:Org!$D$500,419100,Org!E$10:Org!E$501)</f>
        <v>154150</v>
      </c>
      <c r="D35" s="124">
        <f>SUMIF(Org!$C$10:Org!$D$500,419100,Org!F$10:Org!F$501)</f>
        <v>1310</v>
      </c>
      <c r="E35" s="124">
        <f>SUMIF(Org!$C$10:Org!$D$500,419100,Org!G$10:Org!G$501)</f>
        <v>155460</v>
      </c>
      <c r="F35" s="312">
        <f t="shared" si="0"/>
        <v>100.84982160233538</v>
      </c>
      <c r="G35" s="313">
        <f t="shared" si="1"/>
        <v>0.9541317106834029</v>
      </c>
      <c r="H35" s="1"/>
    </row>
    <row r="36" spans="1:8" ht="17.25" customHeight="1">
      <c r="A36" s="256">
        <v>480000</v>
      </c>
      <c r="B36" s="141" t="s">
        <v>413</v>
      </c>
      <c r="C36" s="195">
        <f>SUM(C37:C40)</f>
        <v>181700</v>
      </c>
      <c r="D36" s="195">
        <f>SUM(D37:D40)</f>
        <v>-9985</v>
      </c>
      <c r="E36" s="195">
        <f>SUM(E37:E40)</f>
        <v>171715</v>
      </c>
      <c r="F36" s="195">
        <f t="shared" si="0"/>
        <v>94.50467804072647</v>
      </c>
      <c r="G36" s="410">
        <f t="shared" si="1"/>
        <v>1.0538963508297987</v>
      </c>
      <c r="H36" s="1"/>
    </row>
    <row r="37" spans="1:7" ht="17.25" customHeight="1">
      <c r="A37" s="332">
        <v>487200</v>
      </c>
      <c r="B37" s="333" t="s">
        <v>447</v>
      </c>
      <c r="C37" s="124">
        <f>SUMIF(Org!$C$10:Org!$D$500,487200,Org!E$10:Org!E$501)</f>
        <v>7000</v>
      </c>
      <c r="D37" s="124">
        <f>SUMIF(Org!$C$10:Org!$D$500,487200,Org!F$10:Org!F$501)</f>
        <v>-800</v>
      </c>
      <c r="E37" s="124">
        <f>SUMIF(Org!$C$10:Org!$D$500,487200,Org!G$10:Org!G$501)</f>
        <v>6200</v>
      </c>
      <c r="F37" s="472">
        <f t="shared" si="0"/>
        <v>88.57142857142857</v>
      </c>
      <c r="G37" s="313">
        <f t="shared" si="1"/>
        <v>0.03805233890542324</v>
      </c>
    </row>
    <row r="38" spans="1:7" ht="17.25" customHeight="1">
      <c r="A38" s="332">
        <v>487300</v>
      </c>
      <c r="B38" s="333" t="s">
        <v>442</v>
      </c>
      <c r="C38" s="124">
        <f>SUMIF(Org!$C$10:Org!$D$500,487300,Org!E$10:Org!E$501)</f>
        <v>500</v>
      </c>
      <c r="D38" s="124">
        <f>SUMIF(Org!$C$10:Org!$D$500,487300,Org!F$10:Org!F$501)</f>
        <v>800</v>
      </c>
      <c r="E38" s="124">
        <f>SUMIF(Org!$C$10:Org!$D$500,487300,Org!G$10:Org!G$501)</f>
        <v>1300</v>
      </c>
      <c r="F38" s="472">
        <f t="shared" si="0"/>
        <v>260</v>
      </c>
      <c r="G38" s="313">
        <f t="shared" si="1"/>
        <v>0.007978716222104875</v>
      </c>
    </row>
    <row r="39" spans="1:7" ht="17.25" customHeight="1">
      <c r="A39" s="198">
        <v>487400</v>
      </c>
      <c r="B39" s="305" t="s">
        <v>412</v>
      </c>
      <c r="C39" s="124">
        <f>SUMIF(Org!$C$10:Org!$D$500,487400,Org!E$10:Org!E$501)</f>
        <v>153000</v>
      </c>
      <c r="D39" s="124">
        <f>SUMIF(Org!$C$10:Org!$D$500,487400,Org!F$10:Org!F$501)</f>
        <v>-16500</v>
      </c>
      <c r="E39" s="124">
        <f>SUMIF(Org!$C$10:Org!$D$500,487400,Org!G$10:Org!G$501)</f>
        <v>136500</v>
      </c>
      <c r="F39" s="312">
        <f t="shared" si="0"/>
        <v>89.2156862745098</v>
      </c>
      <c r="G39" s="313">
        <f t="shared" si="1"/>
        <v>0.8377652033210118</v>
      </c>
    </row>
    <row r="40" spans="1:7" ht="17.25" customHeight="1">
      <c r="A40" s="198">
        <v>487900</v>
      </c>
      <c r="B40" s="305" t="s">
        <v>425</v>
      </c>
      <c r="C40" s="124">
        <f>SUMIF(Org!$C$10:Org!$D$500,487900,Org!E$10:Org!E$501)</f>
        <v>21200</v>
      </c>
      <c r="D40" s="124">
        <f>SUMIF(Org!$C$10:Org!$D$500,487900,Org!F$10:Org!F$501)</f>
        <v>6515</v>
      </c>
      <c r="E40" s="124">
        <f>SUMIF(Org!$C$10:Org!$D$500,487900,Org!G$10:Org!G$501)</f>
        <v>27715</v>
      </c>
      <c r="F40" s="312">
        <f t="shared" si="0"/>
        <v>130.7311320754717</v>
      </c>
      <c r="G40" s="313">
        <f t="shared" si="1"/>
        <v>0.1701000923812589</v>
      </c>
    </row>
    <row r="41" spans="1:8" ht="21.75" customHeight="1">
      <c r="A41" s="256" t="s">
        <v>218</v>
      </c>
      <c r="B41" s="306" t="s">
        <v>392</v>
      </c>
      <c r="C41" s="195">
        <f>Org!E501</f>
        <v>160000</v>
      </c>
      <c r="D41" s="195">
        <f>Org!F501</f>
        <v>-140000</v>
      </c>
      <c r="E41" s="195">
        <f>Org!G501</f>
        <v>20000</v>
      </c>
      <c r="F41" s="195">
        <f t="shared" si="0"/>
        <v>12.5</v>
      </c>
      <c r="G41" s="410">
        <f t="shared" si="1"/>
        <v>0.12274948034007498</v>
      </c>
      <c r="H41" s="1"/>
    </row>
    <row r="42" spans="1:8" ht="17.25" customHeight="1">
      <c r="A42" s="202">
        <v>510000</v>
      </c>
      <c r="B42" s="257" t="s">
        <v>421</v>
      </c>
      <c r="C42" s="167">
        <f>C43+C48+C50</f>
        <v>2872453.87</v>
      </c>
      <c r="D42" s="167">
        <f>D43+D48+D50</f>
        <v>1666957.13</v>
      </c>
      <c r="E42" s="167">
        <f>E43+E48+E50</f>
        <v>4539411</v>
      </c>
      <c r="F42" s="167">
        <f t="shared" si="0"/>
        <v>158.0325117631915</v>
      </c>
      <c r="G42" s="166">
        <f t="shared" si="1"/>
        <v>27.860517065001005</v>
      </c>
      <c r="H42" s="1"/>
    </row>
    <row r="43" spans="1:7" ht="15.75" customHeight="1">
      <c r="A43" s="199">
        <v>511000</v>
      </c>
      <c r="B43" s="121" t="s">
        <v>160</v>
      </c>
      <c r="C43" s="123">
        <f>SUM(C44:C47)</f>
        <v>2748453.87</v>
      </c>
      <c r="D43" s="123">
        <f>SUM(D44:D47)</f>
        <v>1656971.13</v>
      </c>
      <c r="E43" s="123">
        <f>SUM(E44:E47)</f>
        <v>4405425</v>
      </c>
      <c r="F43" s="123">
        <f t="shared" si="0"/>
        <v>160.28739096137713</v>
      </c>
      <c r="G43" s="281">
        <f t="shared" si="1"/>
        <v>27.03818147135874</v>
      </c>
    </row>
    <row r="44" spans="1:8" ht="12.75" customHeight="1">
      <c r="A44" s="201">
        <v>511100</v>
      </c>
      <c r="B44" s="307" t="s">
        <v>161</v>
      </c>
      <c r="C44" s="126">
        <f>SUMIF(Org!$C$10:Org!$D$500,511100,Org!E$10:Org!E$500)</f>
        <v>534381.85</v>
      </c>
      <c r="D44" s="126">
        <f>SUMIF(Org!$C$10:Org!$D$500,511100,Org!F$10:Org!F$500)</f>
        <v>-154928.85</v>
      </c>
      <c r="E44" s="126">
        <f>SUMIF(Org!$C$10:Org!$D$500,511100,Org!G$10:Org!G$500)</f>
        <v>379453</v>
      </c>
      <c r="F44" s="312">
        <f t="shared" si="0"/>
        <v>71.00783830887968</v>
      </c>
      <c r="G44" s="313">
        <f t="shared" si="1"/>
        <v>2.3288829281741235</v>
      </c>
      <c r="H44" s="1"/>
    </row>
    <row r="45" spans="1:7" ht="27" customHeight="1">
      <c r="A45" s="198">
        <v>511200</v>
      </c>
      <c r="B45" s="122" t="s">
        <v>162</v>
      </c>
      <c r="C45" s="126">
        <f>SUMIF(Org!$C$10:Org!$D$500,511200,Org!E$10:Org!E$513)</f>
        <v>2093772.02</v>
      </c>
      <c r="D45" s="126">
        <f>SUMIF(Org!$C$10:Org!$D$500,511200,Org!F$10:Org!F$513)</f>
        <v>1805527.98</v>
      </c>
      <c r="E45" s="126">
        <f>SUMIF(Org!$C$10:Org!$D$500,511200,Org!G$10:Org!G$513)</f>
        <v>3899300</v>
      </c>
      <c r="F45" s="312">
        <f t="shared" si="0"/>
        <v>186.23326526256665</v>
      </c>
      <c r="G45" s="313">
        <f t="shared" si="1"/>
        <v>23.93185243450272</v>
      </c>
    </row>
    <row r="46" spans="1:7" ht="12.75" customHeight="1">
      <c r="A46" s="198">
        <v>511300</v>
      </c>
      <c r="B46" s="308" t="s">
        <v>163</v>
      </c>
      <c r="C46" s="126">
        <f>SUMIF(Org!$C$10:Org!$D$500,511300,Org!E$10:Org!E$500)</f>
        <v>110300</v>
      </c>
      <c r="D46" s="126">
        <f>SUMIF(Org!$C$10:Org!$D$500,511300,Org!F$10:Org!F$500)</f>
        <v>10052</v>
      </c>
      <c r="E46" s="126">
        <f>SUMIF(Org!$C$10:Org!$D$500,511300,Org!G$10:Org!G$500)</f>
        <v>120352</v>
      </c>
      <c r="F46" s="312">
        <f t="shared" si="0"/>
        <v>109.11332728921124</v>
      </c>
      <c r="G46" s="313">
        <f t="shared" si="1"/>
        <v>0.7386572728944352</v>
      </c>
    </row>
    <row r="47" spans="1:7" ht="12.75" customHeight="1">
      <c r="A47" s="198">
        <v>511400</v>
      </c>
      <c r="B47" s="308" t="s">
        <v>263</v>
      </c>
      <c r="C47" s="126">
        <f>SUMIF(Org!$C$10:Org!$D$500,511400,Org!E$10:Org!E$500)</f>
        <v>10000</v>
      </c>
      <c r="D47" s="126">
        <f>SUMIF(Org!$C$10:Org!$D$500,511400,Org!F$10:Org!F$500)</f>
        <v>-3680</v>
      </c>
      <c r="E47" s="126">
        <f>SUMIF(Org!$C$10:Org!$D$500,511400,Org!G$10:Org!G$500)</f>
        <v>6320</v>
      </c>
      <c r="F47" s="312">
        <f t="shared" si="0"/>
        <v>63.2</v>
      </c>
      <c r="G47" s="313">
        <f t="shared" si="1"/>
        <v>0.0387888357874637</v>
      </c>
    </row>
    <row r="48" spans="1:8" ht="15.75" customHeight="1">
      <c r="A48" s="309">
        <v>513000</v>
      </c>
      <c r="B48" s="121" t="s">
        <v>187</v>
      </c>
      <c r="C48" s="123">
        <f>SUM(C49)</f>
        <v>110000</v>
      </c>
      <c r="D48" s="123">
        <f>SUM(D49)</f>
        <v>8400</v>
      </c>
      <c r="E48" s="123">
        <f>SUM(E49)</f>
        <v>118400</v>
      </c>
      <c r="F48" s="123">
        <f t="shared" si="0"/>
        <v>107.63636363636364</v>
      </c>
      <c r="G48" s="281">
        <f t="shared" si="1"/>
        <v>0.7266769236132439</v>
      </c>
      <c r="H48" s="1"/>
    </row>
    <row r="49" spans="1:7" ht="12.75" customHeight="1">
      <c r="A49" s="198">
        <v>513100</v>
      </c>
      <c r="B49" s="308" t="s">
        <v>188</v>
      </c>
      <c r="C49" s="126">
        <f>SUMIF(Org!$C$10:Org!$D$500,513100,Org!E$10:Org!E$500)</f>
        <v>110000</v>
      </c>
      <c r="D49" s="126">
        <f>SUMIF(Org!$C$10:Org!$D$500,513100,Org!F$10:Org!F$500)</f>
        <v>8400</v>
      </c>
      <c r="E49" s="126">
        <f>SUMIF(Org!$C$10:Org!$D$500,513100,Org!G$10:Org!G$500)</f>
        <v>118400</v>
      </c>
      <c r="F49" s="312">
        <f t="shared" si="0"/>
        <v>107.63636363636364</v>
      </c>
      <c r="G49" s="313">
        <f t="shared" si="1"/>
        <v>0.7266769236132439</v>
      </c>
    </row>
    <row r="50" spans="1:8" ht="28.5" customHeight="1">
      <c r="A50" s="309">
        <v>516000</v>
      </c>
      <c r="B50" s="310" t="s">
        <v>338</v>
      </c>
      <c r="C50" s="123">
        <f>SUM(C51)</f>
        <v>14000</v>
      </c>
      <c r="D50" s="123">
        <f>SUM(D51)</f>
        <v>1586</v>
      </c>
      <c r="E50" s="123">
        <f>SUM(E51)</f>
        <v>15586</v>
      </c>
      <c r="F50" s="123">
        <f t="shared" si="0"/>
        <v>111.32857142857142</v>
      </c>
      <c r="G50" s="281">
        <f t="shared" si="1"/>
        <v>0.09565867002902044</v>
      </c>
      <c r="H50" s="1"/>
    </row>
    <row r="51" spans="1:8" ht="24.75" customHeight="1">
      <c r="A51" s="198">
        <v>516100</v>
      </c>
      <c r="B51" s="122" t="s">
        <v>338</v>
      </c>
      <c r="C51" s="126">
        <f>SUMIF(Org!$C$10:Org!$D$500,516100,Org!E$10:Org!E$500)</f>
        <v>14000</v>
      </c>
      <c r="D51" s="126">
        <f>SUMIF(Org!$C$10:Org!$D$500,516100,Org!F$10:Org!F$500)</f>
        <v>1586</v>
      </c>
      <c r="E51" s="126">
        <f>SUMIF(Org!$C$10:Org!$D$500,516100,Org!G$10:Org!G$500)</f>
        <v>15586</v>
      </c>
      <c r="F51" s="312">
        <f t="shared" si="0"/>
        <v>111.32857142857142</v>
      </c>
      <c r="G51" s="313">
        <f t="shared" si="1"/>
        <v>0.09565867002902044</v>
      </c>
      <c r="H51" s="1"/>
    </row>
    <row r="52" spans="1:8" ht="31.5" customHeight="1" thickBot="1">
      <c r="A52" s="217"/>
      <c r="B52" s="183" t="s">
        <v>316</v>
      </c>
      <c r="C52" s="311">
        <f>C4+C42</f>
        <v>14271653.870000001</v>
      </c>
      <c r="D52" s="311">
        <f>D4+D42</f>
        <v>2021694.13</v>
      </c>
      <c r="E52" s="311">
        <f>E4+E42</f>
        <v>16293348</v>
      </c>
      <c r="F52" s="311">
        <f t="shared" si="0"/>
        <v>114.16580130386808</v>
      </c>
      <c r="G52" s="168">
        <f t="shared" si="1"/>
        <v>100</v>
      </c>
      <c r="H52" s="1"/>
    </row>
    <row r="53" spans="1:8" ht="28.5" customHeight="1" thickTop="1">
      <c r="A53" s="50"/>
      <c r="B53" s="412"/>
      <c r="C53" s="345"/>
      <c r="D53" s="345"/>
      <c r="E53" s="345"/>
      <c r="F53" s="345"/>
      <c r="G53" s="413"/>
      <c r="H53" s="1"/>
    </row>
    <row r="54" spans="1:7" ht="1.5" customHeight="1" hidden="1">
      <c r="A54" s="15"/>
      <c r="B54" s="497" t="s">
        <v>164</v>
      </c>
      <c r="C54" s="16">
        <f>Finansiranje!C14</f>
        <v>6881727.9799999995</v>
      </c>
      <c r="D54" s="16">
        <f>Finansiranje!D14</f>
        <v>-41496.98000000004</v>
      </c>
      <c r="E54" s="16">
        <f>Finansiranje!E14</f>
        <v>6840231</v>
      </c>
      <c r="F54" s="16"/>
      <c r="G54" s="15"/>
    </row>
    <row r="55" spans="1:8" ht="12.75" customHeight="1" hidden="1">
      <c r="A55" s="15"/>
      <c r="B55" s="497" t="s">
        <v>399</v>
      </c>
      <c r="C55" s="16">
        <f>Finansiranje!C27</f>
        <v>81000</v>
      </c>
      <c r="D55" s="16">
        <f>Finansiranje!D27</f>
        <v>-23500</v>
      </c>
      <c r="E55" s="16">
        <f>Finansiranje!E27</f>
        <v>57500</v>
      </c>
      <c r="F55" s="16"/>
      <c r="G55" s="15"/>
      <c r="H55" s="1"/>
    </row>
    <row r="56" spans="2:8" ht="1.5" customHeight="1" hidden="1">
      <c r="B56" s="498" t="s">
        <v>532</v>
      </c>
      <c r="C56" s="61">
        <f>C52+C54+C55</f>
        <v>21234381.85</v>
      </c>
      <c r="D56" s="61">
        <f>D52+D54+D55</f>
        <v>1956697.15</v>
      </c>
      <c r="E56" s="61">
        <f>E52+E54+E55</f>
        <v>23191079</v>
      </c>
      <c r="F56" s="1"/>
      <c r="H56" s="1"/>
    </row>
    <row r="57" spans="2:6" ht="1.5" customHeight="1" hidden="1">
      <c r="B57" s="203"/>
      <c r="C57" s="243"/>
      <c r="D57" s="243"/>
      <c r="E57" s="243"/>
      <c r="F57" s="243"/>
    </row>
    <row r="58" spans="2:6" ht="12.75" customHeight="1" hidden="1">
      <c r="B58" s="503" t="s">
        <v>566</v>
      </c>
      <c r="C58" s="243">
        <f>Org!E502</f>
        <v>21234381.849999998</v>
      </c>
      <c r="D58" s="243">
        <f>Org!F502</f>
        <v>1956697.15</v>
      </c>
      <c r="E58" s="243">
        <f>Org!G502</f>
        <v>23191079</v>
      </c>
      <c r="F58" s="243"/>
    </row>
    <row r="59" spans="3:5" ht="12.75" customHeight="1" hidden="1">
      <c r="C59" s="1">
        <f>C56-C58</f>
        <v>0</v>
      </c>
      <c r="D59" s="1">
        <f>D56-D58</f>
        <v>0</v>
      </c>
      <c r="E59" s="1">
        <f>E56-E58</f>
        <v>0</v>
      </c>
    </row>
    <row r="60" spans="3:6" ht="12.75" customHeight="1">
      <c r="C60" s="1"/>
      <c r="D60" s="1"/>
      <c r="E60" s="1"/>
      <c r="F60" s="1"/>
    </row>
    <row r="61" spans="3:5" ht="12.75" customHeight="1">
      <c r="C61" s="1"/>
      <c r="D61" s="1"/>
      <c r="E61" s="1"/>
    </row>
    <row r="63" spans="4:5" ht="12.75" customHeight="1">
      <c r="D63" s="1"/>
      <c r="E63" s="1"/>
    </row>
  </sheetData>
  <sheetProtection/>
  <mergeCells count="1">
    <mergeCell ref="A1:G1"/>
  </mergeCells>
  <printOptions horizontalCentered="1"/>
  <pageMargins left="0.15748031496062992" right="0.15748031496062992" top="0.5118110236220472" bottom="0.5118110236220472" header="0.3937007874015748" footer="0.1968503937007874"/>
  <pageSetup horizontalDpi="600" verticalDpi="600" orientation="landscape" paperSize="9" r:id="rId1"/>
  <headerFooter alignWithMargins="0">
    <oddFooter>&amp;R&amp;P</oddFooter>
  </headerFooter>
  <rowBreaks count="3" manualBreakCount="3">
    <brk id="27" max="12" man="1"/>
    <brk id="47" max="12" man="1"/>
    <brk id="5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zoomScale="90" zoomScaleNormal="90" zoomScalePageLayoutView="0" workbookViewId="0" topLeftCell="A38">
      <selection activeCell="B57" sqref="B57"/>
    </sheetView>
  </sheetViews>
  <sheetFormatPr defaultColWidth="9.140625" defaultRowHeight="12.75"/>
  <cols>
    <col min="1" max="1" width="12.8515625" style="0" customWidth="1"/>
    <col min="2" max="2" width="75.57421875" style="0" customWidth="1"/>
    <col min="3" max="3" width="20.7109375" style="0" customWidth="1"/>
    <col min="4" max="4" width="18.7109375" style="0" customWidth="1"/>
    <col min="5" max="5" width="19.140625" style="0" customWidth="1"/>
    <col min="6" max="6" width="14.00390625" style="0" customWidth="1"/>
    <col min="7" max="7" width="12.421875" style="0" customWidth="1"/>
    <col min="8" max="8" width="13.7109375" style="0" customWidth="1"/>
  </cols>
  <sheetData>
    <row r="1" spans="1:5" ht="39.75" customHeight="1" thickBot="1">
      <c r="A1" s="528" t="s">
        <v>548</v>
      </c>
      <c r="B1" s="528"/>
      <c r="C1" s="528"/>
      <c r="D1" s="528"/>
      <c r="E1" s="528"/>
    </row>
    <row r="2" spans="1:5" ht="18.75" customHeight="1" thickTop="1">
      <c r="A2" s="546" t="s">
        <v>63</v>
      </c>
      <c r="B2" s="537" t="s">
        <v>232</v>
      </c>
      <c r="C2" s="537" t="s">
        <v>477</v>
      </c>
      <c r="D2" s="533" t="s">
        <v>539</v>
      </c>
      <c r="E2" s="535" t="s">
        <v>540</v>
      </c>
    </row>
    <row r="3" spans="1:5" ht="30" customHeight="1">
      <c r="A3" s="547"/>
      <c r="B3" s="538"/>
      <c r="C3" s="538"/>
      <c r="D3" s="534"/>
      <c r="E3" s="536"/>
    </row>
    <row r="4" spans="1:5" s="5" customFormat="1" ht="12.75" customHeight="1">
      <c r="A4" s="211">
        <v>1</v>
      </c>
      <c r="B4" s="109">
        <v>2</v>
      </c>
      <c r="C4" s="487">
        <v>3</v>
      </c>
      <c r="D4" s="487" t="s">
        <v>546</v>
      </c>
      <c r="E4" s="488">
        <v>5</v>
      </c>
    </row>
    <row r="5" spans="1:5" ht="12.75">
      <c r="A5" s="164"/>
      <c r="B5" s="181"/>
      <c r="C5" s="475"/>
      <c r="D5" s="475"/>
      <c r="E5" s="415"/>
    </row>
    <row r="6" spans="1:5" ht="21" customHeight="1">
      <c r="A6" s="416"/>
      <c r="B6" s="273" t="s">
        <v>312</v>
      </c>
      <c r="C6" s="476">
        <f>C7-C9</f>
        <v>0</v>
      </c>
      <c r="D6" s="476">
        <f>D7-D9</f>
        <v>0</v>
      </c>
      <c r="E6" s="417">
        <f>E7-E9</f>
        <v>0</v>
      </c>
    </row>
    <row r="7" spans="1:5" ht="16.5" customHeight="1">
      <c r="A7" s="418">
        <v>910000</v>
      </c>
      <c r="B7" s="274" t="s">
        <v>306</v>
      </c>
      <c r="C7" s="477">
        <f>SUM(C8)</f>
        <v>0</v>
      </c>
      <c r="D7" s="477">
        <f>SUM(D8)</f>
        <v>0</v>
      </c>
      <c r="E7" s="419">
        <f>SUM(E8)</f>
        <v>0</v>
      </c>
    </row>
    <row r="8" spans="1:5" ht="18" customHeight="1">
      <c r="A8" s="420">
        <v>911000</v>
      </c>
      <c r="B8" s="280" t="s">
        <v>307</v>
      </c>
      <c r="C8" s="478">
        <v>0</v>
      </c>
      <c r="D8" s="478">
        <f>E8-C8</f>
        <v>0</v>
      </c>
      <c r="E8" s="421">
        <v>0</v>
      </c>
    </row>
    <row r="9" spans="1:5" ht="18" customHeight="1">
      <c r="A9" s="418">
        <v>610000</v>
      </c>
      <c r="B9" s="274" t="s">
        <v>308</v>
      </c>
      <c r="C9" s="477">
        <f>SUM(C10)</f>
        <v>0</v>
      </c>
      <c r="D9" s="477">
        <f>SUM(D10)</f>
        <v>0</v>
      </c>
      <c r="E9" s="419">
        <f>SUM(E10)</f>
        <v>0</v>
      </c>
    </row>
    <row r="10" spans="1:5" ht="17.25" customHeight="1">
      <c r="A10" s="420">
        <v>611000</v>
      </c>
      <c r="B10" s="280" t="s">
        <v>309</v>
      </c>
      <c r="C10" s="478">
        <v>0</v>
      </c>
      <c r="D10" s="478">
        <f>E10-C10</f>
        <v>0</v>
      </c>
      <c r="E10" s="421">
        <v>0</v>
      </c>
    </row>
    <row r="11" spans="1:5" ht="15.75" customHeight="1">
      <c r="A11" s="420"/>
      <c r="B11" s="273" t="s">
        <v>335</v>
      </c>
      <c r="C11" s="476">
        <f>C12-C14</f>
        <v>118272.02000000048</v>
      </c>
      <c r="D11" s="476">
        <f>D12-D14</f>
        <v>41496.98000000004</v>
      </c>
      <c r="E11" s="417">
        <f>E12-E14</f>
        <v>159769</v>
      </c>
    </row>
    <row r="12" spans="1:5" ht="18" customHeight="1">
      <c r="A12" s="418">
        <v>920000</v>
      </c>
      <c r="B12" s="274" t="s">
        <v>313</v>
      </c>
      <c r="C12" s="477">
        <f>C13</f>
        <v>7000000</v>
      </c>
      <c r="D12" s="477">
        <f>D13</f>
        <v>0</v>
      </c>
      <c r="E12" s="419">
        <f>E13</f>
        <v>7000000</v>
      </c>
    </row>
    <row r="13" spans="1:5" ht="17.25" customHeight="1">
      <c r="A13" s="420">
        <v>921200</v>
      </c>
      <c r="B13" s="276" t="s">
        <v>356</v>
      </c>
      <c r="C13" s="479">
        <v>7000000</v>
      </c>
      <c r="D13" s="479">
        <f>E13-C13</f>
        <v>0</v>
      </c>
      <c r="E13" s="422">
        <v>7000000</v>
      </c>
    </row>
    <row r="14" spans="1:6" ht="17.25" customHeight="1">
      <c r="A14" s="418">
        <v>620000</v>
      </c>
      <c r="B14" s="274" t="s">
        <v>311</v>
      </c>
      <c r="C14" s="477">
        <f>C15+C18</f>
        <v>6881727.9799999995</v>
      </c>
      <c r="D14" s="477">
        <f>D15+D18</f>
        <v>-41496.98000000004</v>
      </c>
      <c r="E14" s="419">
        <f>E15+E18</f>
        <v>6840231</v>
      </c>
      <c r="F14" s="1"/>
    </row>
    <row r="15" spans="1:6" ht="17.25" customHeight="1">
      <c r="A15" s="418">
        <v>621000</v>
      </c>
      <c r="B15" s="414" t="s">
        <v>164</v>
      </c>
      <c r="C15" s="480">
        <f>SUM(C16:C17)</f>
        <v>6793227.9799999995</v>
      </c>
      <c r="D15" s="480">
        <f>SUM(D16:D17)</f>
        <v>-41496.98000000004</v>
      </c>
      <c r="E15" s="425">
        <f>SUM(E16:E17)</f>
        <v>6751731</v>
      </c>
      <c r="F15" s="1"/>
    </row>
    <row r="16" spans="1:5" ht="16.5" customHeight="1">
      <c r="A16" s="423">
        <v>621300</v>
      </c>
      <c r="B16" s="122" t="s">
        <v>172</v>
      </c>
      <c r="C16" s="481">
        <f>SUMIF(Org!$C$10:$D$494,621300,Org!E$10:E$494)</f>
        <v>6768227.9799999995</v>
      </c>
      <c r="D16" s="481">
        <f>SUMIF(Org!$C$10:$D$494,621300,Org!F$10:F$494)</f>
        <v>-41496.98000000004</v>
      </c>
      <c r="E16" s="424">
        <f>SUMIF(Org!$C$10:$D$494,621300,Org!G$10:G$494)</f>
        <v>6726731</v>
      </c>
    </row>
    <row r="17" spans="1:5" ht="15.75" customHeight="1">
      <c r="A17" s="423">
        <v>621900</v>
      </c>
      <c r="B17" s="122" t="s">
        <v>358</v>
      </c>
      <c r="C17" s="481">
        <f>SUMIF(Org!$C$10:$D$494,621900,Org!E$10:E$494)</f>
        <v>25000</v>
      </c>
      <c r="D17" s="481">
        <f>SUMIF(Org!$C$10:$D$494,621900,Org!F$10:F$494)</f>
        <v>0</v>
      </c>
      <c r="E17" s="424">
        <f>SUMIF(Org!$C$10:$D$494,621900,Org!G$10:G$494)</f>
        <v>25000</v>
      </c>
    </row>
    <row r="18" spans="1:5" ht="17.25" customHeight="1">
      <c r="A18" s="426">
        <v>628000</v>
      </c>
      <c r="B18" s="464" t="s">
        <v>513</v>
      </c>
      <c r="C18" s="482">
        <f>SUM(C19)</f>
        <v>88500</v>
      </c>
      <c r="D18" s="482">
        <f>SUM(D19)</f>
        <v>0</v>
      </c>
      <c r="E18" s="471">
        <f>SUM(E19)</f>
        <v>88500</v>
      </c>
    </row>
    <row r="19" spans="1:5" ht="15.75" customHeight="1">
      <c r="A19" s="423">
        <v>628100</v>
      </c>
      <c r="B19" s="122" t="s">
        <v>516</v>
      </c>
      <c r="C19" s="481">
        <f>SUMIF(Org!$C$10:$D$494,628100,Org!E$10:E$494)</f>
        <v>88500</v>
      </c>
      <c r="D19" s="481">
        <f>SUMIF(Org!$C$10:$D$494,628100,Org!F$10:F$494)</f>
        <v>0</v>
      </c>
      <c r="E19" s="424">
        <f>SUMIF(Org!$C$10:$D$494,628100,Org!G$10:G$494)</f>
        <v>88500</v>
      </c>
    </row>
    <row r="20" spans="1:5" ht="20.25" customHeight="1">
      <c r="A20" s="423"/>
      <c r="B20" s="273" t="s">
        <v>415</v>
      </c>
      <c r="C20" s="476">
        <f>C21-C27</f>
        <v>-3000</v>
      </c>
      <c r="D20" s="476">
        <f>D21-D27</f>
        <v>500</v>
      </c>
      <c r="E20" s="417">
        <f>E21-E27</f>
        <v>-2500</v>
      </c>
    </row>
    <row r="21" spans="1:5" ht="15.75" customHeight="1">
      <c r="A21" s="418">
        <v>930000</v>
      </c>
      <c r="B21" s="274" t="s">
        <v>416</v>
      </c>
      <c r="C21" s="477">
        <f>C22+C24</f>
        <v>78000</v>
      </c>
      <c r="D21" s="477">
        <f>D22+D24</f>
        <v>-23000</v>
      </c>
      <c r="E21" s="419">
        <f>E22+E24</f>
        <v>55000</v>
      </c>
    </row>
    <row r="22" spans="1:5" ht="20.25" customHeight="1" hidden="1">
      <c r="A22" s="418">
        <v>931000</v>
      </c>
      <c r="B22" s="414" t="s">
        <v>397</v>
      </c>
      <c r="C22" s="480">
        <f>SUM(C23)</f>
        <v>0</v>
      </c>
      <c r="D22" s="480">
        <f>SUM(D23)</f>
        <v>0</v>
      </c>
      <c r="E22" s="425">
        <f>SUM(E23)</f>
        <v>0</v>
      </c>
    </row>
    <row r="23" spans="1:5" ht="16.5" customHeight="1" hidden="1">
      <c r="A23" s="200">
        <v>931100</v>
      </c>
      <c r="B23" s="333" t="s">
        <v>487</v>
      </c>
      <c r="C23" s="283">
        <v>0</v>
      </c>
      <c r="D23" s="283">
        <v>0</v>
      </c>
      <c r="E23" s="284">
        <v>0</v>
      </c>
    </row>
    <row r="24" spans="1:5" ht="19.5" customHeight="1">
      <c r="A24" s="426">
        <v>938000</v>
      </c>
      <c r="B24" s="336" t="s">
        <v>458</v>
      </c>
      <c r="C24" s="483">
        <f>SUM(C25:C26)</f>
        <v>78000</v>
      </c>
      <c r="D24" s="483">
        <f>SUM(D25:D26)</f>
        <v>-23000</v>
      </c>
      <c r="E24" s="427">
        <f>SUM(E25:E26)</f>
        <v>55000</v>
      </c>
    </row>
    <row r="25" spans="1:6" ht="25.5">
      <c r="A25" s="423">
        <v>938100</v>
      </c>
      <c r="B25" s="346" t="s">
        <v>459</v>
      </c>
      <c r="C25" s="479">
        <v>77000</v>
      </c>
      <c r="D25" s="479">
        <f>E25-C25</f>
        <v>-22000</v>
      </c>
      <c r="E25" s="422">
        <v>55000</v>
      </c>
      <c r="F25" s="1"/>
    </row>
    <row r="26" spans="1:6" ht="27" customHeight="1">
      <c r="A26" s="423">
        <v>938100</v>
      </c>
      <c r="B26" s="346" t="s">
        <v>463</v>
      </c>
      <c r="C26" s="479">
        <f>Org!E496</f>
        <v>1000</v>
      </c>
      <c r="D26" s="479">
        <f>E26-C26</f>
        <v>-1000</v>
      </c>
      <c r="E26" s="429">
        <v>0</v>
      </c>
      <c r="F26" s="1"/>
    </row>
    <row r="27" spans="1:5" ht="15.75" customHeight="1">
      <c r="A27" s="418">
        <v>630000</v>
      </c>
      <c r="B27" s="274" t="s">
        <v>417</v>
      </c>
      <c r="C27" s="477">
        <f>C28+C30</f>
        <v>81000</v>
      </c>
      <c r="D27" s="477">
        <f>D28+D30</f>
        <v>-23500</v>
      </c>
      <c r="E27" s="419">
        <f>E28+E30</f>
        <v>57500</v>
      </c>
    </row>
    <row r="28" spans="1:7" ht="15.75" customHeight="1">
      <c r="A28" s="418">
        <v>631000</v>
      </c>
      <c r="B28" s="336" t="s">
        <v>399</v>
      </c>
      <c r="C28" s="483">
        <f>SUM(C29:C29)</f>
        <v>3000</v>
      </c>
      <c r="D28" s="483">
        <f>SUM(D29:D29)</f>
        <v>0</v>
      </c>
      <c r="E28" s="427">
        <f>SUM(E29:E29)</f>
        <v>3000</v>
      </c>
      <c r="F28" s="1"/>
      <c r="G28" s="1"/>
    </row>
    <row r="29" spans="1:5" ht="28.5" customHeight="1">
      <c r="A29" s="423">
        <v>631900</v>
      </c>
      <c r="B29" s="346" t="s">
        <v>462</v>
      </c>
      <c r="C29" s="484">
        <f>Org!E494</f>
        <v>3000</v>
      </c>
      <c r="D29" s="484">
        <f>Org!F494</f>
        <v>0</v>
      </c>
      <c r="E29" s="428">
        <f>Org!G494</f>
        <v>3000</v>
      </c>
    </row>
    <row r="30" spans="1:5" ht="19.5" customHeight="1">
      <c r="A30" s="426">
        <v>638000</v>
      </c>
      <c r="B30" s="335" t="s">
        <v>448</v>
      </c>
      <c r="C30" s="485">
        <f>SUM(C31:C32)</f>
        <v>78000</v>
      </c>
      <c r="D30" s="485">
        <f>SUM(D31:D32)</f>
        <v>-23500</v>
      </c>
      <c r="E30" s="429">
        <f>SUM(E31:E32)</f>
        <v>54500</v>
      </c>
    </row>
    <row r="31" spans="1:6" ht="25.5">
      <c r="A31" s="423">
        <v>638100</v>
      </c>
      <c r="B31" s="346" t="s">
        <v>407</v>
      </c>
      <c r="C31" s="484">
        <f>SUMIF(Org!$C$10:$D$494,638100,Org!E$10:E$494)</f>
        <v>77000</v>
      </c>
      <c r="D31" s="484">
        <f>SUMIF(Org!$C$10:$D$494,638100,Org!F$10:F$494)</f>
        <v>-25500</v>
      </c>
      <c r="E31" s="428">
        <f>SUMIF(Org!$C$10:$D$494,638100,Org!G$10:G$494)</f>
        <v>51500</v>
      </c>
      <c r="F31" s="345"/>
    </row>
    <row r="32" spans="1:5" ht="25.5">
      <c r="A32" s="423">
        <v>638100</v>
      </c>
      <c r="B32" s="305" t="s">
        <v>460</v>
      </c>
      <c r="C32" s="479">
        <f>Org!E496</f>
        <v>1000</v>
      </c>
      <c r="D32" s="479">
        <f>Org!F496</f>
        <v>2000</v>
      </c>
      <c r="E32" s="422">
        <f>Org!G496</f>
        <v>3000</v>
      </c>
    </row>
    <row r="33" spans="1:7" ht="24" customHeight="1">
      <c r="A33" s="418"/>
      <c r="B33" s="273" t="s">
        <v>596</v>
      </c>
      <c r="C33" s="476">
        <f>SUM(C34:C37)</f>
        <v>499381.85</v>
      </c>
      <c r="D33" s="476">
        <f>SUM(D34:D41)</f>
        <v>119210.15</v>
      </c>
      <c r="E33" s="417">
        <f>SUM(E34:E41)</f>
        <v>618592</v>
      </c>
      <c r="F33" s="1"/>
      <c r="G33" s="1"/>
    </row>
    <row r="34" spans="1:5" ht="25.5">
      <c r="A34" s="430" t="s">
        <v>355</v>
      </c>
      <c r="B34" s="277" t="s">
        <v>508</v>
      </c>
      <c r="C34" s="481">
        <v>59381.85</v>
      </c>
      <c r="D34" s="481">
        <f aca="true" t="shared" si="0" ref="D34:D41">E34-C34</f>
        <v>0.1500000000014552</v>
      </c>
      <c r="E34" s="424">
        <v>59382</v>
      </c>
    </row>
    <row r="35" spans="1:5" ht="38.25">
      <c r="A35" s="431" t="s">
        <v>355</v>
      </c>
      <c r="B35" s="122" t="s">
        <v>488</v>
      </c>
      <c r="C35" s="481">
        <v>190000</v>
      </c>
      <c r="D35" s="481">
        <f t="shared" si="0"/>
        <v>0</v>
      </c>
      <c r="E35" s="424">
        <v>190000</v>
      </c>
    </row>
    <row r="36" spans="1:5" ht="12.75">
      <c r="A36" s="431" t="s">
        <v>355</v>
      </c>
      <c r="B36" s="122" t="s">
        <v>373</v>
      </c>
      <c r="C36" s="481">
        <v>180000</v>
      </c>
      <c r="D36" s="481">
        <f t="shared" si="0"/>
        <v>0</v>
      </c>
      <c r="E36" s="424">
        <v>180000</v>
      </c>
    </row>
    <row r="37" spans="1:5" ht="29.25" customHeight="1">
      <c r="A37" s="431" t="s">
        <v>355</v>
      </c>
      <c r="B37" s="122" t="s">
        <v>374</v>
      </c>
      <c r="C37" s="481">
        <v>70000</v>
      </c>
      <c r="D37" s="481">
        <f t="shared" si="0"/>
        <v>0</v>
      </c>
      <c r="E37" s="424">
        <v>70000</v>
      </c>
    </row>
    <row r="38" spans="1:5" ht="29.25" customHeight="1">
      <c r="A38" s="431" t="s">
        <v>573</v>
      </c>
      <c r="B38" s="501" t="s">
        <v>574</v>
      </c>
      <c r="C38" s="502">
        <v>0</v>
      </c>
      <c r="D38" s="481">
        <f t="shared" si="0"/>
        <v>10000</v>
      </c>
      <c r="E38" s="510">
        <v>10000</v>
      </c>
    </row>
    <row r="39" spans="1:5" ht="36" customHeight="1">
      <c r="A39" s="431" t="s">
        <v>355</v>
      </c>
      <c r="B39" s="501" t="s">
        <v>561</v>
      </c>
      <c r="C39" s="502">
        <v>0</v>
      </c>
      <c r="D39" s="481">
        <f t="shared" si="0"/>
        <v>76210</v>
      </c>
      <c r="E39" s="510">
        <v>76210</v>
      </c>
    </row>
    <row r="40" spans="1:5" ht="47.25" customHeight="1">
      <c r="A40" s="431" t="s">
        <v>355</v>
      </c>
      <c r="B40" s="501" t="s">
        <v>562</v>
      </c>
      <c r="C40" s="502">
        <v>0</v>
      </c>
      <c r="D40" s="481">
        <f t="shared" si="0"/>
        <v>30000</v>
      </c>
      <c r="E40" s="510">
        <v>30000</v>
      </c>
    </row>
    <row r="41" spans="1:5" ht="28.5" customHeight="1">
      <c r="A41" s="431" t="s">
        <v>355</v>
      </c>
      <c r="B41" s="501" t="s">
        <v>563</v>
      </c>
      <c r="C41" s="502">
        <v>0</v>
      </c>
      <c r="D41" s="481">
        <f t="shared" si="0"/>
        <v>3000</v>
      </c>
      <c r="E41" s="510">
        <v>3000</v>
      </c>
    </row>
    <row r="42" spans="1:6" s="5" customFormat="1" ht="21" customHeight="1" thickBot="1">
      <c r="A42" s="432"/>
      <c r="B42" s="433" t="s">
        <v>418</v>
      </c>
      <c r="C42" s="486">
        <f>C6+C11+C20+C33</f>
        <v>614653.8700000005</v>
      </c>
      <c r="D42" s="486">
        <f>D6+D11+D20+D33</f>
        <v>161207.13000000003</v>
      </c>
      <c r="E42" s="434">
        <f>E6+E11+E20+E33</f>
        <v>775861</v>
      </c>
      <c r="F42" s="344"/>
    </row>
    <row r="43" spans="1:2" ht="18" customHeight="1" thickTop="1">
      <c r="A43" s="144"/>
      <c r="B43" s="142"/>
    </row>
    <row r="44" spans="1:4" ht="16.5" customHeight="1">
      <c r="A44" s="3"/>
      <c r="B44" s="142"/>
      <c r="C44" s="1"/>
      <c r="D44" s="1"/>
    </row>
    <row r="45" spans="1:5" ht="5.25" customHeight="1" hidden="1">
      <c r="A45" s="3"/>
      <c r="B45" s="505" t="s">
        <v>576</v>
      </c>
      <c r="C45" s="1">
        <f>C7+C12+C21+C33</f>
        <v>7577381.85</v>
      </c>
      <c r="D45" s="1">
        <f>D7+D12+D21+D33</f>
        <v>96210.15</v>
      </c>
      <c r="E45" s="1">
        <f>E7+E12+E21+E33</f>
        <v>7673592</v>
      </c>
    </row>
    <row r="46" spans="1:5" ht="16.5" customHeight="1" hidden="1">
      <c r="A46" s="3"/>
      <c r="B46" s="506" t="s">
        <v>577</v>
      </c>
      <c r="C46" s="1">
        <f>C9+C14+C27+0</f>
        <v>6962727.9799999995</v>
      </c>
      <c r="D46" s="1">
        <f>D9+D14+D27+0</f>
        <v>-64996.98000000004</v>
      </c>
      <c r="E46" s="1">
        <f>E9+E14+E27+0</f>
        <v>6897731</v>
      </c>
    </row>
    <row r="47" spans="1:5" ht="16.5" customHeight="1" hidden="1">
      <c r="A47" s="4"/>
      <c r="B47" s="503" t="s">
        <v>578</v>
      </c>
      <c r="C47" s="1">
        <f>C45-C46</f>
        <v>614653.8700000001</v>
      </c>
      <c r="D47" s="1">
        <f>D45-D46</f>
        <v>161207.13000000003</v>
      </c>
      <c r="E47" s="1">
        <f>E45-E46</f>
        <v>775861</v>
      </c>
    </row>
    <row r="48" spans="1:2" ht="15.75" customHeight="1">
      <c r="A48" s="145"/>
      <c r="B48" s="145"/>
    </row>
    <row r="49" spans="1:2" ht="12.75">
      <c r="A49" s="145"/>
      <c r="B49" s="145"/>
    </row>
    <row r="50" spans="1:2" ht="17.25" customHeight="1">
      <c r="A50" s="145"/>
      <c r="B50" s="145"/>
    </row>
    <row r="51" spans="1:2" ht="12.75">
      <c r="A51" s="145"/>
      <c r="B51" s="145"/>
    </row>
    <row r="52" spans="1:2" ht="12.75">
      <c r="A52" s="145"/>
      <c r="B52" s="145"/>
    </row>
    <row r="53" spans="1:2" ht="12.75">
      <c r="A53" s="145"/>
      <c r="B53" s="145"/>
    </row>
    <row r="54" spans="1:2" ht="23.25" customHeight="1">
      <c r="A54" s="145"/>
      <c r="B54" s="145"/>
    </row>
    <row r="55" spans="1:2" ht="16.5" customHeight="1">
      <c r="A55" s="145"/>
      <c r="B55" s="145"/>
    </row>
    <row r="56" spans="1:2" ht="12.75">
      <c r="A56" s="145"/>
      <c r="B56" s="145"/>
    </row>
    <row r="57" spans="1:2" ht="12.75">
      <c r="A57" s="145"/>
      <c r="B57" s="145"/>
    </row>
    <row r="58" spans="1:2" ht="15" customHeight="1">
      <c r="A58" s="145"/>
      <c r="B58" s="145"/>
    </row>
    <row r="59" spans="1:2" ht="12.75">
      <c r="A59" s="145"/>
      <c r="B59" s="145"/>
    </row>
    <row r="60" spans="1:2" ht="26.25" customHeight="1">
      <c r="A60" s="145"/>
      <c r="B60" s="145"/>
    </row>
    <row r="61" spans="1:2" ht="12.75">
      <c r="A61" s="145"/>
      <c r="B61" s="145"/>
    </row>
    <row r="62" spans="1:2" ht="12.75">
      <c r="A62" s="145"/>
      <c r="B62" s="145"/>
    </row>
    <row r="63" spans="1:2" ht="12.75">
      <c r="A63" s="145"/>
      <c r="B63" s="145"/>
    </row>
    <row r="64" spans="1:2" ht="12.75">
      <c r="A64" s="145"/>
      <c r="B64" s="145"/>
    </row>
    <row r="65" spans="1:2" ht="12.75">
      <c r="A65" s="145"/>
      <c r="B65" s="145"/>
    </row>
    <row r="66" spans="1:2" ht="12.75">
      <c r="A66" s="145"/>
      <c r="B66" s="145"/>
    </row>
    <row r="67" spans="1:2" ht="15.75" customHeight="1">
      <c r="A67" s="145"/>
      <c r="B67" s="145"/>
    </row>
    <row r="68" spans="1:2" ht="12.75">
      <c r="A68" s="145"/>
      <c r="B68" s="145"/>
    </row>
    <row r="69" spans="1:2" ht="12.75">
      <c r="A69" s="145"/>
      <c r="B69" s="145"/>
    </row>
    <row r="70" spans="1:2" ht="12.75">
      <c r="A70" s="145"/>
      <c r="B70" s="145"/>
    </row>
    <row r="71" spans="1:2" ht="12.75" customHeight="1">
      <c r="A71" s="145"/>
      <c r="B71" s="145"/>
    </row>
    <row r="72" spans="1:2" ht="12.75">
      <c r="A72" s="145"/>
      <c r="B72" s="145"/>
    </row>
    <row r="73" spans="1:2" s="143" customFormat="1" ht="11.25">
      <c r="A73" s="145"/>
      <c r="B73" s="145"/>
    </row>
    <row r="74" spans="1:2" s="143" customFormat="1" ht="11.25">
      <c r="A74" s="145"/>
      <c r="B74" s="145"/>
    </row>
    <row r="75" spans="1:2" s="143" customFormat="1" ht="11.25">
      <c r="A75" s="145"/>
      <c r="B75" s="145"/>
    </row>
    <row r="76" spans="1:2" s="143" customFormat="1" ht="11.25">
      <c r="A76" s="145"/>
      <c r="B76" s="145"/>
    </row>
    <row r="77" spans="1:2" s="143" customFormat="1" ht="11.25">
      <c r="A77" s="145"/>
      <c r="B77" s="145"/>
    </row>
    <row r="78" spans="1:2" s="143" customFormat="1" ht="11.25">
      <c r="A78" s="145"/>
      <c r="B78" s="145"/>
    </row>
    <row r="79" spans="1:2" s="143" customFormat="1" ht="11.25">
      <c r="A79" s="145"/>
      <c r="B79" s="145"/>
    </row>
    <row r="80" spans="1:2" s="143" customFormat="1" ht="11.25">
      <c r="A80" s="145"/>
      <c r="B80" s="145"/>
    </row>
    <row r="81" spans="1:2" s="143" customFormat="1" ht="11.25">
      <c r="A81" s="145"/>
      <c r="B81" s="145"/>
    </row>
    <row r="82" spans="1:2" s="143" customFormat="1" ht="11.25">
      <c r="A82" s="145"/>
      <c r="B82" s="145"/>
    </row>
    <row r="83" spans="1:2" s="143" customFormat="1" ht="11.25">
      <c r="A83" s="145"/>
      <c r="B83" s="145"/>
    </row>
    <row r="84" spans="1:2" s="143" customFormat="1" ht="11.25">
      <c r="A84" s="145"/>
      <c r="B84" s="145"/>
    </row>
    <row r="85" spans="1:2" s="143" customFormat="1" ht="11.25">
      <c r="A85" s="145"/>
      <c r="B85" s="145"/>
    </row>
    <row r="86" spans="1:2" s="143" customFormat="1" ht="11.25">
      <c r="A86" s="145"/>
      <c r="B86" s="145"/>
    </row>
    <row r="87" spans="1:2" s="143" customFormat="1" ht="11.25">
      <c r="A87" s="145"/>
      <c r="B87" s="145"/>
    </row>
    <row r="88" spans="1:2" s="143" customFormat="1" ht="11.25">
      <c r="A88" s="145"/>
      <c r="B88" s="145"/>
    </row>
    <row r="89" spans="1:2" s="143" customFormat="1" ht="11.25">
      <c r="A89" s="145"/>
      <c r="B89" s="145"/>
    </row>
    <row r="90" spans="1:2" s="143" customFormat="1" ht="11.25">
      <c r="A90" s="145"/>
      <c r="B90" s="145"/>
    </row>
    <row r="91" spans="1:2" s="143" customFormat="1" ht="11.25">
      <c r="A91" s="145"/>
      <c r="B91" s="145"/>
    </row>
    <row r="92" spans="1:2" s="143" customFormat="1" ht="11.25">
      <c r="A92" s="145"/>
      <c r="B92" s="145"/>
    </row>
    <row r="93" spans="1:2" s="143" customFormat="1" ht="11.25">
      <c r="A93" s="145"/>
      <c r="B93" s="145"/>
    </row>
    <row r="94" spans="1:2" s="143" customFormat="1" ht="11.25">
      <c r="A94" s="145"/>
      <c r="B94" s="145"/>
    </row>
    <row r="95" spans="1:2" s="143" customFormat="1" ht="11.25">
      <c r="A95" s="145"/>
      <c r="B95" s="145"/>
    </row>
    <row r="96" spans="1:2" s="143" customFormat="1" ht="11.25">
      <c r="A96" s="145"/>
      <c r="B96" s="145"/>
    </row>
    <row r="97" spans="1:2" s="143" customFormat="1" ht="11.25">
      <c r="A97" s="145"/>
      <c r="B97" s="145"/>
    </row>
    <row r="98" spans="1:2" s="143" customFormat="1" ht="11.25">
      <c r="A98" s="145"/>
      <c r="B98" s="145"/>
    </row>
    <row r="99" spans="1:2" s="143" customFormat="1" ht="11.25">
      <c r="A99" s="145"/>
      <c r="B99" s="145"/>
    </row>
    <row r="100" spans="1:2" s="143" customFormat="1" ht="11.25">
      <c r="A100" s="145"/>
      <c r="B100" s="145"/>
    </row>
    <row r="101" spans="1:2" s="143" customFormat="1" ht="11.25">
      <c r="A101" s="145"/>
      <c r="B101" s="145"/>
    </row>
    <row r="102" spans="1:2" s="143" customFormat="1" ht="11.25">
      <c r="A102" s="145"/>
      <c r="B102" s="145"/>
    </row>
    <row r="103" spans="1:2" s="143" customFormat="1" ht="11.25">
      <c r="A103" s="145"/>
      <c r="B103" s="145"/>
    </row>
    <row r="104" spans="1:2" s="143" customFormat="1" ht="11.25">
      <c r="A104" s="145"/>
      <c r="B104" s="145"/>
    </row>
    <row r="105" spans="1:2" ht="12.75">
      <c r="A105" s="145"/>
      <c r="B105" s="145"/>
    </row>
    <row r="106" spans="1:2" ht="12.75">
      <c r="A106" s="145"/>
      <c r="B106" s="145"/>
    </row>
    <row r="107" spans="1:2" ht="12.75">
      <c r="A107" s="145"/>
      <c r="B107" s="145"/>
    </row>
    <row r="108" spans="1:2" ht="12.75">
      <c r="A108" s="145"/>
      <c r="B108" s="145"/>
    </row>
    <row r="109" spans="1:2" ht="12.75">
      <c r="A109" s="145"/>
      <c r="B109" s="145"/>
    </row>
    <row r="110" spans="1:2" ht="12.75">
      <c r="A110" s="145"/>
      <c r="B110" s="145"/>
    </row>
    <row r="111" spans="1:2" ht="12.75">
      <c r="A111" s="145"/>
      <c r="B111" s="145"/>
    </row>
    <row r="112" spans="1:2" ht="12.75">
      <c r="A112" s="145"/>
      <c r="B112" s="145"/>
    </row>
    <row r="113" spans="1:2" ht="12.75">
      <c r="A113" s="145"/>
      <c r="B113" s="145"/>
    </row>
    <row r="114" spans="1:2" ht="12.75">
      <c r="A114" s="145"/>
      <c r="B114" s="145"/>
    </row>
    <row r="115" spans="1:2" ht="12.75">
      <c r="A115" s="145"/>
      <c r="B115" s="145"/>
    </row>
    <row r="116" spans="1:2" ht="12.75">
      <c r="A116" s="145"/>
      <c r="B116" s="3"/>
    </row>
    <row r="117" spans="1:2" ht="12.75">
      <c r="A117" s="4"/>
      <c r="B117" s="3"/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ht="12.75">
      <c r="A123" s="4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s="143" customFormat="1" ht="12.75">
      <c r="A128" s="4"/>
      <c r="B128" s="3"/>
    </row>
    <row r="129" spans="1:2" s="143" customFormat="1" ht="12.75">
      <c r="A129" s="4"/>
      <c r="B129" s="3"/>
    </row>
    <row r="130" spans="1:2" s="143" customFormat="1" ht="12.75">
      <c r="A130" s="4"/>
      <c r="B130" s="3"/>
    </row>
    <row r="131" spans="1:2" s="143" customFormat="1" ht="12.75">
      <c r="A131" s="4"/>
      <c r="B131" s="3"/>
    </row>
    <row r="132" spans="1:2" s="143" customFormat="1" ht="12.75">
      <c r="A132" s="4"/>
      <c r="B132" s="3"/>
    </row>
    <row r="133" spans="1:2" s="143" customFormat="1" ht="12.75">
      <c r="A133" s="4"/>
      <c r="B133" s="3"/>
    </row>
    <row r="134" spans="1:2" s="143" customFormat="1" ht="12.75">
      <c r="A134" s="4"/>
      <c r="B134" s="3"/>
    </row>
    <row r="135" spans="1:2" s="143" customFormat="1" ht="12.75">
      <c r="A135" s="4"/>
      <c r="B135" s="3"/>
    </row>
    <row r="136" spans="1:2" s="143" customFormat="1" ht="12.75">
      <c r="A136" s="4"/>
      <c r="B136" s="3"/>
    </row>
    <row r="137" spans="1:2" s="143" customFormat="1" ht="12.75">
      <c r="A137" s="4"/>
      <c r="B137" s="3"/>
    </row>
    <row r="138" spans="1:2" s="143" customFormat="1" ht="12.75">
      <c r="A138" s="4"/>
      <c r="B138" s="3"/>
    </row>
    <row r="139" spans="1:2" s="143" customFormat="1" ht="12.75">
      <c r="A139" s="4"/>
      <c r="B139" s="3"/>
    </row>
    <row r="140" spans="1:2" s="143" customFormat="1" ht="12.75">
      <c r="A140" s="4"/>
      <c r="B140" s="3"/>
    </row>
    <row r="141" spans="1:2" s="143" customFormat="1" ht="12.75">
      <c r="A141" s="4"/>
      <c r="B141" s="3"/>
    </row>
    <row r="142" spans="1:2" s="143" customFormat="1" ht="12.75">
      <c r="A142" s="4"/>
      <c r="B142"/>
    </row>
  </sheetData>
  <sheetProtection/>
  <mergeCells count="6">
    <mergeCell ref="E2:E3"/>
    <mergeCell ref="A1:E1"/>
    <mergeCell ref="C2:C3"/>
    <mergeCell ref="A2:A3"/>
    <mergeCell ref="B2:B3"/>
    <mergeCell ref="D2:D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9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E607"/>
  <sheetViews>
    <sheetView zoomScale="106" zoomScaleNormal="106" zoomScaleSheetLayoutView="75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99" sqref="D599"/>
    </sheetView>
  </sheetViews>
  <sheetFormatPr defaultColWidth="9.140625" defaultRowHeight="12.75"/>
  <cols>
    <col min="1" max="1" width="6.8515625" style="7" customWidth="1"/>
    <col min="2" max="2" width="9.140625" style="6" customWidth="1"/>
    <col min="3" max="3" width="8.28125" style="6" customWidth="1"/>
    <col min="4" max="4" width="54.421875" style="6" customWidth="1"/>
    <col min="5" max="6" width="14.28125" style="56" customWidth="1"/>
    <col min="7" max="7" width="13.8515625" style="56" customWidth="1"/>
    <col min="8" max="8" width="9.57421875" style="56" customWidth="1"/>
    <col min="9" max="9" width="8.57421875" style="51" customWidth="1"/>
    <col min="10" max="10" width="4.421875" style="386" customWidth="1"/>
    <col min="11" max="11" width="13.421875" style="395" hidden="1" customWidth="1"/>
    <col min="12" max="12" width="13.140625" style="6" hidden="1" customWidth="1"/>
    <col min="13" max="13" width="13.7109375" style="6" hidden="1" customWidth="1"/>
    <col min="14" max="14" width="9.140625" style="6" customWidth="1"/>
    <col min="15" max="15" width="13.00390625" style="6" customWidth="1"/>
    <col min="16" max="16384" width="9.140625" style="6" customWidth="1"/>
  </cols>
  <sheetData>
    <row r="1" spans="1:9" ht="36" customHeight="1" thickBot="1">
      <c r="A1" s="583" t="s">
        <v>549</v>
      </c>
      <c r="B1" s="583"/>
      <c r="C1" s="583"/>
      <c r="D1" s="583"/>
      <c r="E1" s="583"/>
      <c r="F1" s="583"/>
      <c r="G1" s="583"/>
      <c r="H1" s="583"/>
      <c r="I1" s="583"/>
    </row>
    <row r="2" spans="1:12" ht="24.75" customHeight="1" thickTop="1">
      <c r="A2" s="584" t="s">
        <v>230</v>
      </c>
      <c r="B2" s="534" t="s">
        <v>4</v>
      </c>
      <c r="C2" s="534"/>
      <c r="D2" s="534" t="s">
        <v>232</v>
      </c>
      <c r="E2" s="558" t="s">
        <v>476</v>
      </c>
      <c r="F2" s="587" t="s">
        <v>539</v>
      </c>
      <c r="G2" s="587" t="s">
        <v>540</v>
      </c>
      <c r="H2" s="558" t="s">
        <v>118</v>
      </c>
      <c r="I2" s="585" t="s">
        <v>119</v>
      </c>
      <c r="K2" s="552" t="s">
        <v>575</v>
      </c>
      <c r="L2" s="554" t="s">
        <v>587</v>
      </c>
    </row>
    <row r="3" spans="1:13" s="60" customFormat="1" ht="43.5" customHeight="1">
      <c r="A3" s="547"/>
      <c r="B3" s="107" t="s">
        <v>231</v>
      </c>
      <c r="C3" s="107" t="s">
        <v>26</v>
      </c>
      <c r="D3" s="538"/>
      <c r="E3" s="559"/>
      <c r="F3" s="558"/>
      <c r="G3" s="558"/>
      <c r="H3" s="559"/>
      <c r="I3" s="586"/>
      <c r="J3" s="387"/>
      <c r="K3" s="553"/>
      <c r="L3" s="555"/>
      <c r="M3" s="512" t="s">
        <v>581</v>
      </c>
    </row>
    <row r="4" spans="1:12" ht="9.75" customHeight="1">
      <c r="A4" s="108">
        <v>1</v>
      </c>
      <c r="B4" s="109">
        <v>2</v>
      </c>
      <c r="C4" s="109">
        <v>3</v>
      </c>
      <c r="D4" s="109">
        <v>4</v>
      </c>
      <c r="E4" s="363">
        <v>5</v>
      </c>
      <c r="F4" s="363" t="s">
        <v>550</v>
      </c>
      <c r="G4" s="363">
        <v>7</v>
      </c>
      <c r="H4" s="363" t="s">
        <v>551</v>
      </c>
      <c r="I4" s="365">
        <v>9</v>
      </c>
      <c r="K4" s="504">
        <v>1</v>
      </c>
      <c r="L4" s="363">
        <v>2</v>
      </c>
    </row>
    <row r="5" spans="1:12" ht="9.75" customHeight="1">
      <c r="A5" s="548"/>
      <c r="B5" s="549"/>
      <c r="C5" s="560" t="s">
        <v>242</v>
      </c>
      <c r="D5" s="582"/>
      <c r="E5" s="169"/>
      <c r="F5" s="169"/>
      <c r="G5" s="169"/>
      <c r="H5" s="169"/>
      <c r="I5" s="366"/>
      <c r="K5" s="169"/>
      <c r="L5" s="169"/>
    </row>
    <row r="6" spans="1:12" ht="9.75" customHeight="1">
      <c r="A6" s="548"/>
      <c r="B6" s="549"/>
      <c r="C6" s="560"/>
      <c r="D6" s="582"/>
      <c r="E6" s="170"/>
      <c r="F6" s="170"/>
      <c r="G6" s="170"/>
      <c r="H6" s="170"/>
      <c r="I6" s="367"/>
      <c r="K6" s="170"/>
      <c r="L6" s="170"/>
    </row>
    <row r="7" spans="1:12" ht="19.5" customHeight="1">
      <c r="A7" s="548"/>
      <c r="B7" s="549"/>
      <c r="C7" s="560"/>
      <c r="D7" s="582"/>
      <c r="E7" s="171"/>
      <c r="F7" s="171"/>
      <c r="G7" s="171"/>
      <c r="H7" s="171"/>
      <c r="I7" s="368"/>
      <c r="K7" s="171"/>
      <c r="L7" s="171"/>
    </row>
    <row r="8" spans="1:13" ht="15" customHeight="1">
      <c r="A8" s="137"/>
      <c r="B8" s="23">
        <v>411000</v>
      </c>
      <c r="C8" s="17"/>
      <c r="D8" s="32" t="s">
        <v>140</v>
      </c>
      <c r="E8" s="355">
        <f>SUM(E9)</f>
        <v>1000</v>
      </c>
      <c r="F8" s="355">
        <f>SUM(F9)</f>
        <v>1000</v>
      </c>
      <c r="G8" s="355">
        <f>SUM(G9)</f>
        <v>2000</v>
      </c>
      <c r="H8" s="357">
        <f>IF(E8&gt;0,G8/E8*100,0)</f>
        <v>200</v>
      </c>
      <c r="I8" s="356">
        <f aca="true" t="shared" si="0" ref="I8:I20">G8/$G$502*100</f>
        <v>0.008624005808440392</v>
      </c>
      <c r="K8" s="355">
        <f>SUM(K9)</f>
        <v>2000</v>
      </c>
      <c r="L8" s="355">
        <f>SUM(L9)</f>
        <v>2000</v>
      </c>
      <c r="M8" s="511">
        <f>G8-L8</f>
        <v>0</v>
      </c>
    </row>
    <row r="9" spans="1:13" ht="13.5" customHeight="1">
      <c r="A9" s="137" t="s">
        <v>27</v>
      </c>
      <c r="B9" s="264"/>
      <c r="C9" s="267">
        <v>411200</v>
      </c>
      <c r="D9" s="44" t="s">
        <v>422</v>
      </c>
      <c r="E9" s="266">
        <v>1000</v>
      </c>
      <c r="F9" s="489">
        <f aca="true" t="shared" si="1" ref="F9:F19">G9-E9</f>
        <v>1000</v>
      </c>
      <c r="G9" s="489">
        <v>2000</v>
      </c>
      <c r="H9" s="207">
        <f aca="true" t="shared" si="2" ref="H9:H20">IF(E9&gt;0,G9/E9*100,0)</f>
        <v>200</v>
      </c>
      <c r="I9" s="288">
        <f t="shared" si="0"/>
        <v>0.008624005808440392</v>
      </c>
      <c r="K9" s="489">
        <v>2000</v>
      </c>
      <c r="L9" s="489">
        <v>2000</v>
      </c>
      <c r="M9" s="511">
        <f aca="true" t="shared" si="3" ref="M9:M72">G9-L9</f>
        <v>0</v>
      </c>
    </row>
    <row r="10" spans="1:13" ht="11.25" customHeight="1">
      <c r="A10" s="137"/>
      <c r="B10" s="23">
        <v>412000</v>
      </c>
      <c r="C10" s="17"/>
      <c r="D10" s="32" t="s">
        <v>142</v>
      </c>
      <c r="E10" s="65">
        <f>SUM(E11:E15)</f>
        <v>285000</v>
      </c>
      <c r="F10" s="65">
        <f>SUM(F11:F15)</f>
        <v>-15000</v>
      </c>
      <c r="G10" s="65">
        <f>SUM(G11:G15)</f>
        <v>270000</v>
      </c>
      <c r="H10" s="187">
        <f t="shared" si="2"/>
        <v>94.73684210526315</v>
      </c>
      <c r="I10" s="314">
        <f t="shared" si="0"/>
        <v>1.1642407841394529</v>
      </c>
      <c r="K10" s="65">
        <f>SUM(K11:K15)</f>
        <v>278900</v>
      </c>
      <c r="L10" s="65">
        <f>SUM(L11:L15)</f>
        <v>278900</v>
      </c>
      <c r="M10" s="511">
        <f t="shared" si="3"/>
        <v>-8900</v>
      </c>
    </row>
    <row r="11" spans="1:13" ht="12.75" customHeight="1">
      <c r="A11" s="137" t="s">
        <v>27</v>
      </c>
      <c r="B11" s="25"/>
      <c r="C11" s="17">
        <v>412900</v>
      </c>
      <c r="D11" s="30" t="s">
        <v>0</v>
      </c>
      <c r="E11" s="196">
        <v>9500</v>
      </c>
      <c r="F11" s="196">
        <f t="shared" si="1"/>
        <v>700</v>
      </c>
      <c r="G11" s="196">
        <v>10200</v>
      </c>
      <c r="H11" s="207">
        <f t="shared" si="2"/>
        <v>107.36842105263158</v>
      </c>
      <c r="I11" s="288">
        <f t="shared" si="0"/>
        <v>0.043982429623046</v>
      </c>
      <c r="K11" s="196">
        <v>10200</v>
      </c>
      <c r="L11" s="196">
        <v>8500</v>
      </c>
      <c r="M11" s="511">
        <f t="shared" si="3"/>
        <v>1700</v>
      </c>
    </row>
    <row r="12" spans="1:13" ht="12.75" customHeight="1">
      <c r="A12" s="137" t="s">
        <v>27</v>
      </c>
      <c r="B12" s="25"/>
      <c r="C12" s="17">
        <v>412900</v>
      </c>
      <c r="D12" s="30" t="s">
        <v>233</v>
      </c>
      <c r="E12" s="184">
        <v>4500</v>
      </c>
      <c r="F12" s="184">
        <f t="shared" si="1"/>
        <v>-1700</v>
      </c>
      <c r="G12" s="184">
        <v>2800</v>
      </c>
      <c r="H12" s="207">
        <f t="shared" si="2"/>
        <v>62.22222222222222</v>
      </c>
      <c r="I12" s="288">
        <f t="shared" si="0"/>
        <v>0.012073608131816549</v>
      </c>
      <c r="K12" s="184">
        <v>2800</v>
      </c>
      <c r="L12" s="184">
        <v>4500</v>
      </c>
      <c r="M12" s="511">
        <f t="shared" si="3"/>
        <v>-1700</v>
      </c>
    </row>
    <row r="13" spans="1:13" ht="12.75" customHeight="1">
      <c r="A13" s="40" t="s">
        <v>27</v>
      </c>
      <c r="B13" s="25"/>
      <c r="C13" s="38">
        <v>412900</v>
      </c>
      <c r="D13" s="34" t="s">
        <v>101</v>
      </c>
      <c r="E13" s="196">
        <v>210000</v>
      </c>
      <c r="F13" s="196">
        <f t="shared" si="1"/>
        <v>-7000</v>
      </c>
      <c r="G13" s="196">
        <v>203000</v>
      </c>
      <c r="H13" s="207">
        <f t="shared" si="2"/>
        <v>96.66666666666667</v>
      </c>
      <c r="I13" s="288">
        <f t="shared" si="0"/>
        <v>0.8753365895566998</v>
      </c>
      <c r="K13" s="196">
        <v>205000</v>
      </c>
      <c r="L13" s="196">
        <v>205000</v>
      </c>
      <c r="M13" s="511">
        <f t="shared" si="3"/>
        <v>-2000</v>
      </c>
    </row>
    <row r="14" spans="1:13" ht="12.75" customHeight="1">
      <c r="A14" s="40" t="s">
        <v>27</v>
      </c>
      <c r="B14" s="25"/>
      <c r="C14" s="38">
        <v>412900</v>
      </c>
      <c r="D14" s="34" t="s">
        <v>205</v>
      </c>
      <c r="E14" s="196">
        <v>4000</v>
      </c>
      <c r="F14" s="196">
        <f t="shared" si="1"/>
        <v>0</v>
      </c>
      <c r="G14" s="196">
        <v>4000</v>
      </c>
      <c r="H14" s="207">
        <f t="shared" si="2"/>
        <v>100</v>
      </c>
      <c r="I14" s="288">
        <f t="shared" si="0"/>
        <v>0.017248011616880783</v>
      </c>
      <c r="K14" s="196">
        <v>4000</v>
      </c>
      <c r="L14" s="196">
        <v>4000</v>
      </c>
      <c r="M14" s="511">
        <f t="shared" si="3"/>
        <v>0</v>
      </c>
    </row>
    <row r="15" spans="1:13" ht="12.75" customHeight="1">
      <c r="A15" s="40" t="s">
        <v>29</v>
      </c>
      <c r="B15" s="25"/>
      <c r="C15" s="38">
        <v>412900</v>
      </c>
      <c r="D15" s="34" t="s">
        <v>241</v>
      </c>
      <c r="E15" s="196">
        <v>57000</v>
      </c>
      <c r="F15" s="196">
        <f t="shared" si="1"/>
        <v>-7000</v>
      </c>
      <c r="G15" s="270">
        <v>50000</v>
      </c>
      <c r="H15" s="207">
        <f t="shared" si="2"/>
        <v>87.71929824561403</v>
      </c>
      <c r="I15" s="288">
        <f t="shared" si="0"/>
        <v>0.21560014521100979</v>
      </c>
      <c r="K15" s="196">
        <v>56900</v>
      </c>
      <c r="L15" s="196">
        <v>56900</v>
      </c>
      <c r="M15" s="511">
        <f t="shared" si="3"/>
        <v>-6900</v>
      </c>
    </row>
    <row r="16" spans="1:13" ht="12.75" customHeight="1" hidden="1">
      <c r="A16" s="40" t="s">
        <v>27</v>
      </c>
      <c r="B16" s="25"/>
      <c r="C16" s="38">
        <v>412900</v>
      </c>
      <c r="D16" s="34" t="s">
        <v>151</v>
      </c>
      <c r="E16" s="196"/>
      <c r="F16" s="196">
        <f t="shared" si="1"/>
        <v>0</v>
      </c>
      <c r="G16" s="196"/>
      <c r="H16" s="187">
        <f t="shared" si="2"/>
        <v>0</v>
      </c>
      <c r="I16" s="314">
        <f t="shared" si="0"/>
        <v>0</v>
      </c>
      <c r="K16" s="196"/>
      <c r="L16" s="196"/>
      <c r="M16" s="511">
        <f t="shared" si="3"/>
        <v>0</v>
      </c>
    </row>
    <row r="17" spans="1:13" ht="9" customHeight="1">
      <c r="A17" s="137"/>
      <c r="B17" s="23">
        <v>415000</v>
      </c>
      <c r="C17" s="17"/>
      <c r="D17" s="35" t="s">
        <v>156</v>
      </c>
      <c r="E17" s="65">
        <f>SUM(E18:E19)</f>
        <v>35000</v>
      </c>
      <c r="F17" s="65">
        <f>SUM(F18:F19)</f>
        <v>-7100</v>
      </c>
      <c r="G17" s="65">
        <f>SUM(G18:G19)</f>
        <v>27900</v>
      </c>
      <c r="H17" s="187">
        <f t="shared" si="2"/>
        <v>79.71428571428572</v>
      </c>
      <c r="I17" s="314">
        <f t="shared" si="0"/>
        <v>0.12030488102774348</v>
      </c>
      <c r="K17" s="65">
        <f>SUM(K18:K19)</f>
        <v>34900</v>
      </c>
      <c r="L17" s="65">
        <f>SUM(L18:L19)</f>
        <v>34900</v>
      </c>
      <c r="M17" s="511">
        <f t="shared" si="3"/>
        <v>-7000</v>
      </c>
    </row>
    <row r="18" spans="1:13" ht="12.75" customHeight="1">
      <c r="A18" s="137" t="s">
        <v>29</v>
      </c>
      <c r="B18" s="25"/>
      <c r="C18" s="17">
        <v>415200</v>
      </c>
      <c r="D18" s="30" t="s">
        <v>240</v>
      </c>
      <c r="E18" s="196">
        <v>28000</v>
      </c>
      <c r="F18" s="196">
        <f t="shared" si="1"/>
        <v>-100</v>
      </c>
      <c r="G18" s="196">
        <v>27900</v>
      </c>
      <c r="H18" s="207">
        <f t="shared" si="2"/>
        <v>99.64285714285714</v>
      </c>
      <c r="I18" s="288">
        <f t="shared" si="0"/>
        <v>0.12030488102774348</v>
      </c>
      <c r="K18" s="196">
        <v>27900</v>
      </c>
      <c r="L18" s="196">
        <v>27900</v>
      </c>
      <c r="M18" s="511">
        <f t="shared" si="3"/>
        <v>0</v>
      </c>
    </row>
    <row r="19" spans="1:13" ht="24.75" customHeight="1">
      <c r="A19" s="137" t="s">
        <v>29</v>
      </c>
      <c r="B19" s="25"/>
      <c r="C19" s="17">
        <v>415200</v>
      </c>
      <c r="D19" s="30" t="s">
        <v>435</v>
      </c>
      <c r="E19" s="196">
        <v>7000</v>
      </c>
      <c r="F19" s="196">
        <f t="shared" si="1"/>
        <v>-7000</v>
      </c>
      <c r="G19" s="196">
        <v>0</v>
      </c>
      <c r="H19" s="207">
        <f t="shared" si="2"/>
        <v>0</v>
      </c>
      <c r="I19" s="288">
        <f t="shared" si="0"/>
        <v>0</v>
      </c>
      <c r="K19" s="196">
        <v>7000</v>
      </c>
      <c r="L19" s="196">
        <v>7000</v>
      </c>
      <c r="M19" s="511">
        <f t="shared" si="3"/>
        <v>-7000</v>
      </c>
    </row>
    <row r="20" spans="1:13" ht="23.25" customHeight="1">
      <c r="A20" s="548"/>
      <c r="B20" s="549"/>
      <c r="C20" s="550" t="s">
        <v>84</v>
      </c>
      <c r="D20" s="550"/>
      <c r="E20" s="347">
        <f>E8+E10+E17</f>
        <v>321000</v>
      </c>
      <c r="F20" s="347">
        <f>F8+F10+F17</f>
        <v>-21100</v>
      </c>
      <c r="G20" s="347">
        <f>G8+G10+G17</f>
        <v>299900</v>
      </c>
      <c r="H20" s="348">
        <f t="shared" si="2"/>
        <v>93.42679127725857</v>
      </c>
      <c r="I20" s="354">
        <f t="shared" si="0"/>
        <v>1.2931696709756368</v>
      </c>
      <c r="K20" s="347">
        <f>K8+K10+K17</f>
        <v>315800</v>
      </c>
      <c r="L20" s="347">
        <f>L8+L10+L17</f>
        <v>315800</v>
      </c>
      <c r="M20" s="511">
        <f t="shared" si="3"/>
        <v>-15900</v>
      </c>
    </row>
    <row r="21" spans="1:13" ht="9.75" customHeight="1">
      <c r="A21" s="548"/>
      <c r="B21" s="549"/>
      <c r="C21" s="560" t="s">
        <v>243</v>
      </c>
      <c r="D21" s="582"/>
      <c r="E21" s="172"/>
      <c r="F21" s="172"/>
      <c r="G21" s="172"/>
      <c r="H21" s="172"/>
      <c r="I21" s="369"/>
      <c r="K21" s="172"/>
      <c r="L21" s="172"/>
      <c r="M21" s="511">
        <f t="shared" si="3"/>
        <v>0</v>
      </c>
    </row>
    <row r="22" spans="1:13" ht="9.75" customHeight="1">
      <c r="A22" s="548"/>
      <c r="B22" s="549"/>
      <c r="C22" s="560"/>
      <c r="D22" s="582"/>
      <c r="E22" s="173"/>
      <c r="F22" s="173"/>
      <c r="G22" s="173"/>
      <c r="H22" s="173"/>
      <c r="I22" s="370"/>
      <c r="K22" s="173"/>
      <c r="L22" s="173"/>
      <c r="M22" s="511">
        <f t="shared" si="3"/>
        <v>0</v>
      </c>
    </row>
    <row r="23" spans="1:13" ht="19.5" customHeight="1">
      <c r="A23" s="548"/>
      <c r="B23" s="549"/>
      <c r="C23" s="560"/>
      <c r="D23" s="582"/>
      <c r="E23" s="174"/>
      <c r="F23" s="174"/>
      <c r="G23" s="174"/>
      <c r="H23" s="174"/>
      <c r="I23" s="371"/>
      <c r="K23" s="174"/>
      <c r="L23" s="174"/>
      <c r="M23" s="511">
        <f t="shared" si="3"/>
        <v>0</v>
      </c>
    </row>
    <row r="24" spans="1:13" ht="15" customHeight="1">
      <c r="A24" s="137"/>
      <c r="B24" s="23">
        <v>411000</v>
      </c>
      <c r="C24" s="17"/>
      <c r="D24" s="32" t="s">
        <v>140</v>
      </c>
      <c r="E24" s="355">
        <f>SUM(E25)</f>
        <v>2500</v>
      </c>
      <c r="F24" s="355">
        <f>SUM(F25)</f>
        <v>0</v>
      </c>
      <c r="G24" s="355">
        <f>SUM(G25)</f>
        <v>2500</v>
      </c>
      <c r="H24" s="355">
        <f aca="true" t="shared" si="4" ref="H24:H39">IF(E24&gt;0,G24/E24*100,0)</f>
        <v>100</v>
      </c>
      <c r="I24" s="356">
        <f aca="true" t="shared" si="5" ref="I24:I39">G24/$G$502*100</f>
        <v>0.01078000726055049</v>
      </c>
      <c r="K24" s="355">
        <f>SUM(K25)</f>
        <v>2500</v>
      </c>
      <c r="L24" s="355">
        <f>SUM(L25)</f>
        <v>2500</v>
      </c>
      <c r="M24" s="511">
        <f t="shared" si="3"/>
        <v>0</v>
      </c>
    </row>
    <row r="25" spans="1:13" ht="12.75">
      <c r="A25" s="137" t="s">
        <v>27</v>
      </c>
      <c r="B25" s="264"/>
      <c r="C25" s="267">
        <v>411200</v>
      </c>
      <c r="D25" s="44" t="s">
        <v>422</v>
      </c>
      <c r="E25" s="266">
        <v>2500</v>
      </c>
      <c r="F25" s="266">
        <f aca="true" t="shared" si="6" ref="F25:F38">G25-E25</f>
        <v>0</v>
      </c>
      <c r="G25" s="266">
        <v>2500</v>
      </c>
      <c r="H25" s="317">
        <f t="shared" si="4"/>
        <v>100</v>
      </c>
      <c r="I25" s="288">
        <f t="shared" si="5"/>
        <v>0.01078000726055049</v>
      </c>
      <c r="K25" s="266">
        <v>2500</v>
      </c>
      <c r="L25" s="266">
        <v>2500</v>
      </c>
      <c r="M25" s="511">
        <f t="shared" si="3"/>
        <v>0</v>
      </c>
    </row>
    <row r="26" spans="1:13" ht="14.25" customHeight="1">
      <c r="A26" s="137"/>
      <c r="B26" s="23">
        <v>412000</v>
      </c>
      <c r="C26" s="17"/>
      <c r="D26" s="32" t="s">
        <v>142</v>
      </c>
      <c r="E26" s="65">
        <f>SUM(E27:E35)</f>
        <v>79000</v>
      </c>
      <c r="F26" s="65">
        <f>SUM(F27:F35)</f>
        <v>27600</v>
      </c>
      <c r="G26" s="65">
        <f>SUM(G27:G35)</f>
        <v>106600</v>
      </c>
      <c r="H26" s="65">
        <f t="shared" si="4"/>
        <v>134.9367088607595</v>
      </c>
      <c r="I26" s="314">
        <f t="shared" si="5"/>
        <v>0.45965950958987295</v>
      </c>
      <c r="K26" s="65">
        <f>SUM(K27:K35)</f>
        <v>106500</v>
      </c>
      <c r="L26" s="65">
        <f>SUM(L27:L35)</f>
        <v>104500</v>
      </c>
      <c r="M26" s="511">
        <f t="shared" si="3"/>
        <v>2100</v>
      </c>
    </row>
    <row r="27" spans="1:13" ht="12.75" customHeight="1">
      <c r="A27" s="137" t="s">
        <v>27</v>
      </c>
      <c r="B27" s="33"/>
      <c r="C27" s="17">
        <v>412900</v>
      </c>
      <c r="D27" s="30" t="s">
        <v>0</v>
      </c>
      <c r="E27" s="184">
        <v>20000</v>
      </c>
      <c r="F27" s="184">
        <f t="shared" si="6"/>
        <v>3600</v>
      </c>
      <c r="G27" s="270">
        <v>23600</v>
      </c>
      <c r="H27" s="317">
        <f t="shared" si="4"/>
        <v>118</v>
      </c>
      <c r="I27" s="288">
        <f t="shared" si="5"/>
        <v>0.10176326853959662</v>
      </c>
      <c r="K27" s="184">
        <v>22000</v>
      </c>
      <c r="L27" s="184">
        <v>20000</v>
      </c>
      <c r="M27" s="511">
        <f t="shared" si="3"/>
        <v>3600</v>
      </c>
    </row>
    <row r="28" spans="1:13" ht="12.75" customHeight="1" hidden="1">
      <c r="A28" s="137" t="s">
        <v>27</v>
      </c>
      <c r="B28" s="33"/>
      <c r="C28" s="17">
        <v>412900</v>
      </c>
      <c r="D28" s="30" t="s">
        <v>384</v>
      </c>
      <c r="E28" s="184"/>
      <c r="F28" s="184">
        <f t="shared" si="6"/>
        <v>0</v>
      </c>
      <c r="G28" s="184"/>
      <c r="H28" s="317">
        <f t="shared" si="4"/>
        <v>0</v>
      </c>
      <c r="I28" s="288">
        <f t="shared" si="5"/>
        <v>0</v>
      </c>
      <c r="K28" s="184"/>
      <c r="L28" s="184"/>
      <c r="M28" s="511">
        <f t="shared" si="3"/>
        <v>0</v>
      </c>
    </row>
    <row r="29" spans="1:13" ht="12.75" customHeight="1">
      <c r="A29" s="137" t="s">
        <v>27</v>
      </c>
      <c r="B29" s="33"/>
      <c r="C29" s="38">
        <v>412900</v>
      </c>
      <c r="D29" s="34" t="s">
        <v>102</v>
      </c>
      <c r="E29" s="184">
        <v>7000</v>
      </c>
      <c r="F29" s="184">
        <f t="shared" si="6"/>
        <v>-1500</v>
      </c>
      <c r="G29" s="184">
        <v>5500</v>
      </c>
      <c r="H29" s="317">
        <f t="shared" si="4"/>
        <v>78.57142857142857</v>
      </c>
      <c r="I29" s="288">
        <f t="shared" si="5"/>
        <v>0.023716015973211078</v>
      </c>
      <c r="J29" s="382"/>
      <c r="K29" s="184">
        <v>7000</v>
      </c>
      <c r="L29" s="184">
        <v>7000</v>
      </c>
      <c r="M29" s="511">
        <f t="shared" si="3"/>
        <v>-1500</v>
      </c>
    </row>
    <row r="30" spans="1:13" ht="12.75" customHeight="1" hidden="1">
      <c r="A30" s="137" t="s">
        <v>27</v>
      </c>
      <c r="B30" s="23"/>
      <c r="C30" s="37">
        <v>412900</v>
      </c>
      <c r="D30" s="39" t="s">
        <v>211</v>
      </c>
      <c r="E30" s="184">
        <v>0</v>
      </c>
      <c r="F30" s="184">
        <f t="shared" si="6"/>
        <v>0</v>
      </c>
      <c r="G30" s="184"/>
      <c r="H30" s="317">
        <f t="shared" si="4"/>
        <v>0</v>
      </c>
      <c r="I30" s="288">
        <f t="shared" si="5"/>
        <v>0</v>
      </c>
      <c r="K30" s="184"/>
      <c r="L30" s="184"/>
      <c r="M30" s="511">
        <f t="shared" si="3"/>
        <v>0</v>
      </c>
    </row>
    <row r="31" spans="1:13" ht="12" customHeight="1">
      <c r="A31" s="40" t="s">
        <v>27</v>
      </c>
      <c r="B31" s="33"/>
      <c r="C31" s="37">
        <v>412900</v>
      </c>
      <c r="D31" s="34" t="s">
        <v>286</v>
      </c>
      <c r="E31" s="184">
        <v>7000</v>
      </c>
      <c r="F31" s="184">
        <f t="shared" si="6"/>
        <v>0</v>
      </c>
      <c r="G31" s="184">
        <v>7000</v>
      </c>
      <c r="H31" s="317">
        <f t="shared" si="4"/>
        <v>100</v>
      </c>
      <c r="I31" s="288">
        <f t="shared" si="5"/>
        <v>0.03018402032954137</v>
      </c>
      <c r="K31" s="184">
        <v>7000</v>
      </c>
      <c r="L31" s="184">
        <v>7000</v>
      </c>
      <c r="M31" s="511">
        <f t="shared" si="3"/>
        <v>0</v>
      </c>
    </row>
    <row r="32" spans="1:13" ht="1.5" customHeight="1" hidden="1">
      <c r="A32" s="40" t="s">
        <v>27</v>
      </c>
      <c r="B32" s="33"/>
      <c r="C32" s="37">
        <v>412900</v>
      </c>
      <c r="D32" s="34" t="s">
        <v>151</v>
      </c>
      <c r="E32" s="184">
        <v>0</v>
      </c>
      <c r="F32" s="184">
        <f t="shared" si="6"/>
        <v>0</v>
      </c>
      <c r="G32" s="184"/>
      <c r="H32" s="317">
        <f t="shared" si="4"/>
        <v>0</v>
      </c>
      <c r="I32" s="288">
        <f t="shared" si="5"/>
        <v>0</v>
      </c>
      <c r="K32" s="184"/>
      <c r="L32" s="184"/>
      <c r="M32" s="511">
        <f t="shared" si="3"/>
        <v>0</v>
      </c>
    </row>
    <row r="33" spans="1:13" ht="12.75" customHeight="1">
      <c r="A33" s="40" t="s">
        <v>27</v>
      </c>
      <c r="B33" s="33"/>
      <c r="C33" s="37">
        <v>412900</v>
      </c>
      <c r="D33" s="34" t="s">
        <v>353</v>
      </c>
      <c r="E33" s="184">
        <v>3000</v>
      </c>
      <c r="F33" s="184">
        <f t="shared" si="6"/>
        <v>0</v>
      </c>
      <c r="G33" s="514">
        <v>3000</v>
      </c>
      <c r="H33" s="317">
        <f t="shared" si="4"/>
        <v>100</v>
      </c>
      <c r="I33" s="288">
        <f t="shared" si="5"/>
        <v>0.012936008712660589</v>
      </c>
      <c r="K33" s="184">
        <v>3000</v>
      </c>
      <c r="L33" s="184">
        <v>3000</v>
      </c>
      <c r="M33" s="511">
        <f t="shared" si="3"/>
        <v>0</v>
      </c>
    </row>
    <row r="34" spans="1:13" ht="24" customHeight="1" hidden="1">
      <c r="A34" s="40" t="s">
        <v>27</v>
      </c>
      <c r="B34" s="33"/>
      <c r="C34" s="37">
        <v>412900</v>
      </c>
      <c r="D34" s="34" t="s">
        <v>437</v>
      </c>
      <c r="E34" s="196">
        <v>0</v>
      </c>
      <c r="F34" s="196">
        <f t="shared" si="6"/>
        <v>0</v>
      </c>
      <c r="G34" s="196"/>
      <c r="H34" s="317">
        <f t="shared" si="4"/>
        <v>0</v>
      </c>
      <c r="I34" s="288">
        <f t="shared" si="5"/>
        <v>0</v>
      </c>
      <c r="K34" s="196"/>
      <c r="L34" s="196"/>
      <c r="M34" s="511">
        <f t="shared" si="3"/>
        <v>0</v>
      </c>
    </row>
    <row r="35" spans="1:13" ht="24" customHeight="1">
      <c r="A35" s="40" t="s">
        <v>27</v>
      </c>
      <c r="B35" s="33"/>
      <c r="C35" s="37">
        <v>412900</v>
      </c>
      <c r="D35" s="34" t="s">
        <v>505</v>
      </c>
      <c r="E35" s="196">
        <v>42000</v>
      </c>
      <c r="F35" s="196">
        <f t="shared" si="6"/>
        <v>25500</v>
      </c>
      <c r="G35" s="196">
        <v>67500</v>
      </c>
      <c r="H35" s="317">
        <f t="shared" si="4"/>
        <v>160.71428571428572</v>
      </c>
      <c r="I35" s="288">
        <f t="shared" si="5"/>
        <v>0.2910601960348632</v>
      </c>
      <c r="K35" s="196">
        <v>67500</v>
      </c>
      <c r="L35" s="196">
        <v>67500</v>
      </c>
      <c r="M35" s="511">
        <f t="shared" si="3"/>
        <v>0</v>
      </c>
    </row>
    <row r="36" spans="1:13" ht="12.75" customHeight="1" hidden="1">
      <c r="A36" s="40" t="s">
        <v>33</v>
      </c>
      <c r="B36" s="33"/>
      <c r="C36" s="37">
        <v>416100</v>
      </c>
      <c r="D36" s="30" t="s">
        <v>223</v>
      </c>
      <c r="E36" s="196">
        <v>0</v>
      </c>
      <c r="F36" s="196">
        <f t="shared" si="6"/>
        <v>0</v>
      </c>
      <c r="G36" s="196"/>
      <c r="H36" s="317">
        <f t="shared" si="4"/>
        <v>0</v>
      </c>
      <c r="I36" s="288">
        <f t="shared" si="5"/>
        <v>0</v>
      </c>
      <c r="K36" s="196"/>
      <c r="L36" s="196"/>
      <c r="M36" s="511">
        <f t="shared" si="3"/>
        <v>0</v>
      </c>
    </row>
    <row r="37" spans="1:13" ht="23.25" customHeight="1" hidden="1">
      <c r="A37" s="40" t="s">
        <v>59</v>
      </c>
      <c r="B37" s="33"/>
      <c r="C37" s="37">
        <v>511200</v>
      </c>
      <c r="D37" s="30" t="s">
        <v>378</v>
      </c>
      <c r="E37" s="196"/>
      <c r="F37" s="196">
        <f t="shared" si="6"/>
        <v>0</v>
      </c>
      <c r="G37" s="196"/>
      <c r="H37" s="317">
        <f t="shared" si="4"/>
        <v>0</v>
      </c>
      <c r="I37" s="288">
        <f t="shared" si="5"/>
        <v>0</v>
      </c>
      <c r="K37" s="196"/>
      <c r="L37" s="196"/>
      <c r="M37" s="511">
        <f t="shared" si="3"/>
        <v>0</v>
      </c>
    </row>
    <row r="38" spans="1:13" ht="12.75" hidden="1">
      <c r="A38" s="40" t="s">
        <v>59</v>
      </c>
      <c r="B38" s="33"/>
      <c r="C38" s="37">
        <v>511300</v>
      </c>
      <c r="D38" s="30" t="s">
        <v>328</v>
      </c>
      <c r="E38" s="196">
        <v>0</v>
      </c>
      <c r="F38" s="196">
        <f t="shared" si="6"/>
        <v>0</v>
      </c>
      <c r="G38" s="196"/>
      <c r="H38" s="317">
        <f t="shared" si="4"/>
        <v>0</v>
      </c>
      <c r="I38" s="288">
        <f t="shared" si="5"/>
        <v>0</v>
      </c>
      <c r="K38" s="196"/>
      <c r="L38" s="196"/>
      <c r="M38" s="511">
        <f t="shared" si="3"/>
        <v>0</v>
      </c>
    </row>
    <row r="39" spans="1:13" ht="27" customHeight="1">
      <c r="A39" s="548"/>
      <c r="B39" s="549"/>
      <c r="C39" s="550" t="s">
        <v>85</v>
      </c>
      <c r="D39" s="550"/>
      <c r="E39" s="71">
        <f>E24+E26</f>
        <v>81500</v>
      </c>
      <c r="F39" s="71">
        <f>F24+F26</f>
        <v>27600</v>
      </c>
      <c r="G39" s="71">
        <f>G24+G26</f>
        <v>109100</v>
      </c>
      <c r="H39" s="328">
        <f t="shared" si="4"/>
        <v>133.86503067484662</v>
      </c>
      <c r="I39" s="324">
        <f t="shared" si="5"/>
        <v>0.4704395168504234</v>
      </c>
      <c r="K39" s="71">
        <f>K24+K26</f>
        <v>109000</v>
      </c>
      <c r="L39" s="71">
        <f>L24+L26</f>
        <v>107000</v>
      </c>
      <c r="M39" s="511">
        <f t="shared" si="3"/>
        <v>2100</v>
      </c>
    </row>
    <row r="40" spans="1:13" ht="30" customHeight="1">
      <c r="A40" s="556"/>
      <c r="B40" s="557"/>
      <c r="C40" s="563" t="s">
        <v>535</v>
      </c>
      <c r="D40" s="564"/>
      <c r="E40" s="175"/>
      <c r="F40" s="175"/>
      <c r="G40" s="175"/>
      <c r="H40" s="175"/>
      <c r="I40" s="372"/>
      <c r="K40" s="175"/>
      <c r="L40" s="175"/>
      <c r="M40" s="511">
        <f t="shared" si="3"/>
        <v>0</v>
      </c>
    </row>
    <row r="41" spans="1:13" ht="6.75" customHeight="1">
      <c r="A41" s="556"/>
      <c r="B41" s="557"/>
      <c r="C41" s="565"/>
      <c r="D41" s="564"/>
      <c r="E41" s="176"/>
      <c r="F41" s="176"/>
      <c r="G41" s="176"/>
      <c r="H41" s="176"/>
      <c r="I41" s="373"/>
      <c r="K41" s="176"/>
      <c r="L41" s="176"/>
      <c r="M41" s="511">
        <f t="shared" si="3"/>
        <v>0</v>
      </c>
    </row>
    <row r="42" spans="1:13" ht="13.5" customHeight="1" hidden="1">
      <c r="A42" s="556"/>
      <c r="B42" s="557"/>
      <c r="C42" s="565"/>
      <c r="D42" s="564"/>
      <c r="E42" s="177"/>
      <c r="F42" s="177"/>
      <c r="G42" s="177"/>
      <c r="H42" s="177"/>
      <c r="I42" s="374"/>
      <c r="K42" s="177"/>
      <c r="L42" s="177"/>
      <c r="M42" s="511">
        <f t="shared" si="3"/>
        <v>0</v>
      </c>
    </row>
    <row r="43" spans="1:13" ht="12.75">
      <c r="A43" s="28"/>
      <c r="B43" s="352" t="s">
        <v>451</v>
      </c>
      <c r="C43" s="64"/>
      <c r="D43" s="80" t="s">
        <v>142</v>
      </c>
      <c r="E43" s="364">
        <f>SUM(E44:E47)</f>
        <v>17000</v>
      </c>
      <c r="F43" s="364">
        <f>SUM(F44:F47)</f>
        <v>12000</v>
      </c>
      <c r="G43" s="364">
        <f>SUM(G44:G47)</f>
        <v>29000</v>
      </c>
      <c r="H43" s="364">
        <f aca="true" t="shared" si="7" ref="H43:H52">IF(E43&gt;0,G43/E43*100,0)</f>
        <v>170.58823529411765</v>
      </c>
      <c r="I43" s="375">
        <f aca="true" t="shared" si="8" ref="I43:I52">G43/$G$502*100</f>
        <v>0.1250480842223857</v>
      </c>
      <c r="K43" s="364">
        <f>SUM(K44:K47)</f>
        <v>29000</v>
      </c>
      <c r="L43" s="364">
        <f>SUM(L44:L47)</f>
        <v>26000</v>
      </c>
      <c r="M43" s="511">
        <f t="shared" si="3"/>
        <v>3000</v>
      </c>
    </row>
    <row r="44" spans="1:13" ht="12.75" hidden="1">
      <c r="A44" s="137" t="s">
        <v>27</v>
      </c>
      <c r="B44" s="352"/>
      <c r="C44" s="45">
        <v>412900</v>
      </c>
      <c r="D44" s="92" t="s">
        <v>0</v>
      </c>
      <c r="E44" s="265">
        <v>0</v>
      </c>
      <c r="F44" s="265">
        <f aca="true" t="shared" si="9" ref="F44:F51">G44-E44</f>
        <v>0</v>
      </c>
      <c r="G44" s="265"/>
      <c r="H44" s="265">
        <f t="shared" si="7"/>
        <v>0</v>
      </c>
      <c r="I44" s="376">
        <f t="shared" si="8"/>
        <v>0</v>
      </c>
      <c r="K44" s="265"/>
      <c r="L44" s="265"/>
      <c r="M44" s="511">
        <f t="shared" si="3"/>
        <v>0</v>
      </c>
    </row>
    <row r="45" spans="1:13" ht="12.75">
      <c r="A45" s="137" t="s">
        <v>27</v>
      </c>
      <c r="B45" s="352"/>
      <c r="C45" s="45">
        <v>412700</v>
      </c>
      <c r="D45" s="92" t="s">
        <v>149</v>
      </c>
      <c r="E45" s="265">
        <v>0</v>
      </c>
      <c r="F45" s="265">
        <f t="shared" si="9"/>
        <v>28590</v>
      </c>
      <c r="G45" s="265">
        <v>28590</v>
      </c>
      <c r="H45" s="265">
        <f t="shared" si="7"/>
        <v>0</v>
      </c>
      <c r="I45" s="376">
        <f t="shared" si="8"/>
        <v>0.12328016303165541</v>
      </c>
      <c r="K45" s="265">
        <v>28590</v>
      </c>
      <c r="L45" s="265">
        <v>25590</v>
      </c>
      <c r="M45" s="511">
        <f t="shared" si="3"/>
        <v>3000</v>
      </c>
    </row>
    <row r="46" spans="1:13" ht="24">
      <c r="A46" s="137" t="s">
        <v>27</v>
      </c>
      <c r="B46" s="352"/>
      <c r="C46" s="45">
        <v>412900</v>
      </c>
      <c r="D46" s="44" t="s">
        <v>468</v>
      </c>
      <c r="E46" s="265">
        <v>2000</v>
      </c>
      <c r="F46" s="265">
        <f t="shared" si="9"/>
        <v>-1590</v>
      </c>
      <c r="G46" s="265">
        <v>410</v>
      </c>
      <c r="H46" s="265">
        <f t="shared" si="7"/>
        <v>20.5</v>
      </c>
      <c r="I46" s="376">
        <f t="shared" si="8"/>
        <v>0.0017679211907302803</v>
      </c>
      <c r="K46" s="265">
        <v>410</v>
      </c>
      <c r="L46" s="265">
        <v>410</v>
      </c>
      <c r="M46" s="511">
        <f t="shared" si="3"/>
        <v>0</v>
      </c>
    </row>
    <row r="47" spans="1:13" ht="12.75">
      <c r="A47" s="137" t="s">
        <v>27</v>
      </c>
      <c r="B47" s="352"/>
      <c r="C47" s="45">
        <v>412900</v>
      </c>
      <c r="D47" s="44" t="s">
        <v>149</v>
      </c>
      <c r="E47" s="265">
        <v>15000</v>
      </c>
      <c r="F47" s="265">
        <f t="shared" si="9"/>
        <v>-15000</v>
      </c>
      <c r="G47" s="265">
        <v>0</v>
      </c>
      <c r="H47" s="265">
        <f t="shared" si="7"/>
        <v>0</v>
      </c>
      <c r="I47" s="376">
        <f t="shared" si="8"/>
        <v>0</v>
      </c>
      <c r="K47" s="265">
        <v>0</v>
      </c>
      <c r="L47" s="265">
        <v>0</v>
      </c>
      <c r="M47" s="511">
        <f t="shared" si="3"/>
        <v>0</v>
      </c>
    </row>
    <row r="48" spans="1:13" ht="12.75">
      <c r="A48" s="137"/>
      <c r="B48" s="352" t="s">
        <v>465</v>
      </c>
      <c r="C48" s="64"/>
      <c r="D48" s="80" t="s">
        <v>390</v>
      </c>
      <c r="E48" s="364">
        <f>SUM(E49)</f>
        <v>150000</v>
      </c>
      <c r="F48" s="364">
        <f>SUM(F49)</f>
        <v>0</v>
      </c>
      <c r="G48" s="364">
        <f>SUM(G49)</f>
        <v>150000</v>
      </c>
      <c r="H48" s="364">
        <f t="shared" si="7"/>
        <v>100</v>
      </c>
      <c r="I48" s="375">
        <f t="shared" si="8"/>
        <v>0.6468004356330294</v>
      </c>
      <c r="K48" s="364">
        <f>SUM(K49)</f>
        <v>150000</v>
      </c>
      <c r="L48" s="364">
        <f>SUM(L49)</f>
        <v>150000</v>
      </c>
      <c r="M48" s="511">
        <f t="shared" si="3"/>
        <v>0</v>
      </c>
    </row>
    <row r="49" spans="1:13" ht="22.5" customHeight="1">
      <c r="A49" s="137" t="s">
        <v>27</v>
      </c>
      <c r="B49" s="352"/>
      <c r="C49" s="45">
        <v>419100</v>
      </c>
      <c r="D49" s="44" t="s">
        <v>467</v>
      </c>
      <c r="E49" s="266">
        <v>150000</v>
      </c>
      <c r="F49" s="266">
        <f t="shared" si="9"/>
        <v>0</v>
      </c>
      <c r="G49" s="266">
        <v>150000</v>
      </c>
      <c r="H49" s="265">
        <f t="shared" si="7"/>
        <v>100</v>
      </c>
      <c r="I49" s="376">
        <f t="shared" si="8"/>
        <v>0.6468004356330294</v>
      </c>
      <c r="K49" s="266">
        <v>150000</v>
      </c>
      <c r="L49" s="266">
        <v>150000</v>
      </c>
      <c r="M49" s="511">
        <f t="shared" si="3"/>
        <v>0</v>
      </c>
    </row>
    <row r="50" spans="1:13" ht="12.75">
      <c r="A50" s="137"/>
      <c r="B50" s="352" t="s">
        <v>466</v>
      </c>
      <c r="C50" s="64"/>
      <c r="D50" s="80" t="s">
        <v>187</v>
      </c>
      <c r="E50" s="364">
        <f>SUM(E51)</f>
        <v>110000</v>
      </c>
      <c r="F50" s="364">
        <f>SUM(F51)</f>
        <v>8400</v>
      </c>
      <c r="G50" s="364">
        <f>SUM(G51)</f>
        <v>118400</v>
      </c>
      <c r="H50" s="364">
        <f t="shared" si="7"/>
        <v>107.63636363636364</v>
      </c>
      <c r="I50" s="375">
        <f t="shared" si="8"/>
        <v>0.5105411438596712</v>
      </c>
      <c r="K50" s="364">
        <f>SUM(K51)</f>
        <v>118400</v>
      </c>
      <c r="L50" s="364">
        <f>SUM(L51)</f>
        <v>118400</v>
      </c>
      <c r="M50" s="511">
        <f t="shared" si="3"/>
        <v>0</v>
      </c>
    </row>
    <row r="51" spans="1:13" ht="15.75" customHeight="1">
      <c r="A51" s="137" t="s">
        <v>27</v>
      </c>
      <c r="B51" s="350"/>
      <c r="C51" s="340">
        <v>513100</v>
      </c>
      <c r="D51" s="334" t="s">
        <v>265</v>
      </c>
      <c r="E51" s="317">
        <v>110000</v>
      </c>
      <c r="F51" s="317">
        <f t="shared" si="9"/>
        <v>8400</v>
      </c>
      <c r="G51" s="317">
        <v>118400</v>
      </c>
      <c r="H51" s="317">
        <f t="shared" si="7"/>
        <v>107.63636363636364</v>
      </c>
      <c r="I51" s="376">
        <f t="shared" si="8"/>
        <v>0.5105411438596712</v>
      </c>
      <c r="K51" s="317">
        <v>118400</v>
      </c>
      <c r="L51" s="317">
        <v>118400</v>
      </c>
      <c r="M51" s="511">
        <f t="shared" si="3"/>
        <v>0</v>
      </c>
    </row>
    <row r="52" spans="1:13" ht="21" customHeight="1">
      <c r="A52" s="377"/>
      <c r="B52" s="351"/>
      <c r="C52" s="550" t="s">
        <v>534</v>
      </c>
      <c r="D52" s="550"/>
      <c r="E52" s="328">
        <f>E43+E48+E50</f>
        <v>277000</v>
      </c>
      <c r="F52" s="328">
        <f>F43+F48+F50</f>
        <v>20400</v>
      </c>
      <c r="G52" s="328">
        <f>G43+G48+G50</f>
        <v>297400</v>
      </c>
      <c r="H52" s="328">
        <f t="shared" si="7"/>
        <v>107.36462093862815</v>
      </c>
      <c r="I52" s="378">
        <f t="shared" si="8"/>
        <v>1.2823896637150862</v>
      </c>
      <c r="K52" s="328">
        <f>K43+K48+K50</f>
        <v>297400</v>
      </c>
      <c r="L52" s="328">
        <f>L43+L48+L50</f>
        <v>294400</v>
      </c>
      <c r="M52" s="511">
        <f t="shared" si="3"/>
        <v>3000</v>
      </c>
    </row>
    <row r="53" spans="1:13" ht="9.75" customHeight="1">
      <c r="A53" s="548"/>
      <c r="B53" s="549"/>
      <c r="C53" s="560" t="s">
        <v>120</v>
      </c>
      <c r="D53" s="582"/>
      <c r="E53" s="175"/>
      <c r="F53" s="175"/>
      <c r="G53" s="175"/>
      <c r="H53" s="175"/>
      <c r="I53" s="372"/>
      <c r="K53" s="175"/>
      <c r="L53" s="175"/>
      <c r="M53" s="511">
        <f t="shared" si="3"/>
        <v>0</v>
      </c>
    </row>
    <row r="54" spans="1:13" ht="9.75" customHeight="1">
      <c r="A54" s="548"/>
      <c r="B54" s="549"/>
      <c r="C54" s="560"/>
      <c r="D54" s="582"/>
      <c r="E54" s="176"/>
      <c r="F54" s="176"/>
      <c r="G54" s="176"/>
      <c r="H54" s="176"/>
      <c r="I54" s="373"/>
      <c r="K54" s="176"/>
      <c r="L54" s="176"/>
      <c r="M54" s="511">
        <f t="shared" si="3"/>
        <v>0</v>
      </c>
    </row>
    <row r="55" spans="1:13" ht="13.5" customHeight="1">
      <c r="A55" s="548"/>
      <c r="B55" s="549"/>
      <c r="C55" s="560"/>
      <c r="D55" s="582"/>
      <c r="E55" s="177"/>
      <c r="F55" s="177"/>
      <c r="G55" s="177"/>
      <c r="H55" s="177"/>
      <c r="I55" s="374"/>
      <c r="K55" s="177"/>
      <c r="L55" s="177"/>
      <c r="M55" s="511">
        <f t="shared" si="3"/>
        <v>0</v>
      </c>
    </row>
    <row r="56" spans="1:13" ht="14.25" customHeight="1">
      <c r="A56" s="137"/>
      <c r="B56" s="23">
        <v>412000</v>
      </c>
      <c r="C56" s="31"/>
      <c r="D56" s="32" t="s">
        <v>142</v>
      </c>
      <c r="E56" s="357">
        <f>SUM(E57:E60)</f>
        <v>26900</v>
      </c>
      <c r="F56" s="357">
        <f>SUM(F57:F60)</f>
        <v>2940</v>
      </c>
      <c r="G56" s="357">
        <f>SUM(G57:G60)</f>
        <v>29840</v>
      </c>
      <c r="H56" s="357">
        <f aca="true" t="shared" si="10" ref="H56:H65">IF(E56&gt;0,G56/E56*100,0)</f>
        <v>110.92936802973978</v>
      </c>
      <c r="I56" s="356">
        <f aca="true" t="shared" si="11" ref="I56:I65">G56/$G$502*100</f>
        <v>0.12867016666193065</v>
      </c>
      <c r="K56" s="357">
        <f>SUM(K57:K60)</f>
        <v>29836.87</v>
      </c>
      <c r="L56" s="357">
        <f>SUM(L57:L60)</f>
        <v>29836.87</v>
      </c>
      <c r="M56" s="511">
        <f t="shared" si="3"/>
        <v>3.1300000000010186</v>
      </c>
    </row>
    <row r="57" spans="1:13" ht="12.75" customHeight="1">
      <c r="A57" s="137" t="s">
        <v>27</v>
      </c>
      <c r="B57" s="33"/>
      <c r="C57" s="17">
        <v>412700</v>
      </c>
      <c r="D57" s="33" t="s">
        <v>166</v>
      </c>
      <c r="E57" s="196">
        <v>2500</v>
      </c>
      <c r="F57" s="196">
        <f aca="true" t="shared" si="12" ref="F57:F64">G57-E57</f>
        <v>-1030</v>
      </c>
      <c r="G57" s="196">
        <v>1470</v>
      </c>
      <c r="H57" s="207">
        <f t="shared" si="10"/>
        <v>58.8</v>
      </c>
      <c r="I57" s="288">
        <f t="shared" si="11"/>
        <v>0.006338644269203688</v>
      </c>
      <c r="K57" s="196">
        <v>1466.87</v>
      </c>
      <c r="L57" s="196">
        <v>1466.87</v>
      </c>
      <c r="M57" s="511">
        <f t="shared" si="3"/>
        <v>3.130000000000109</v>
      </c>
    </row>
    <row r="58" spans="1:13" ht="12.75" customHeight="1">
      <c r="A58" s="137" t="s">
        <v>37</v>
      </c>
      <c r="B58" s="33"/>
      <c r="C58" s="17">
        <v>412700</v>
      </c>
      <c r="D58" s="33" t="s">
        <v>114</v>
      </c>
      <c r="E58" s="196">
        <v>12500</v>
      </c>
      <c r="F58" s="196">
        <f t="shared" si="12"/>
        <v>0</v>
      </c>
      <c r="G58" s="196">
        <v>12500</v>
      </c>
      <c r="H58" s="207">
        <f t="shared" si="10"/>
        <v>100</v>
      </c>
      <c r="I58" s="288">
        <f t="shared" si="11"/>
        <v>0.053900036302752447</v>
      </c>
      <c r="K58" s="196">
        <v>12500</v>
      </c>
      <c r="L58" s="196">
        <v>12500</v>
      </c>
      <c r="M58" s="511">
        <f t="shared" si="3"/>
        <v>0</v>
      </c>
    </row>
    <row r="59" spans="1:13" ht="12.75" customHeight="1">
      <c r="A59" s="137" t="s">
        <v>27</v>
      </c>
      <c r="B59" s="33"/>
      <c r="C59" s="17">
        <v>412900</v>
      </c>
      <c r="D59" s="30" t="s">
        <v>0</v>
      </c>
      <c r="E59" s="196">
        <v>400</v>
      </c>
      <c r="F59" s="196">
        <f t="shared" si="12"/>
        <v>-30</v>
      </c>
      <c r="G59" s="196">
        <v>370</v>
      </c>
      <c r="H59" s="207">
        <f t="shared" si="10"/>
        <v>92.5</v>
      </c>
      <c r="I59" s="288">
        <f t="shared" si="11"/>
        <v>0.0015954410745614726</v>
      </c>
      <c r="K59" s="196">
        <v>370</v>
      </c>
      <c r="L59" s="196">
        <v>370</v>
      </c>
      <c r="M59" s="511">
        <f t="shared" si="3"/>
        <v>0</v>
      </c>
    </row>
    <row r="60" spans="1:13" ht="12.75" customHeight="1">
      <c r="A60" s="137" t="s">
        <v>27</v>
      </c>
      <c r="B60" s="33"/>
      <c r="C60" s="17">
        <v>412900</v>
      </c>
      <c r="D60" s="34" t="s">
        <v>206</v>
      </c>
      <c r="E60" s="196">
        <v>11500</v>
      </c>
      <c r="F60" s="196">
        <f t="shared" si="12"/>
        <v>4000</v>
      </c>
      <c r="G60" s="196">
        <v>15500</v>
      </c>
      <c r="H60" s="207">
        <f t="shared" si="10"/>
        <v>134.7826086956522</v>
      </c>
      <c r="I60" s="288">
        <f t="shared" si="11"/>
        <v>0.06683604501541303</v>
      </c>
      <c r="K60" s="196">
        <v>15500</v>
      </c>
      <c r="L60" s="196">
        <v>15500</v>
      </c>
      <c r="M60" s="511">
        <f t="shared" si="3"/>
        <v>0</v>
      </c>
    </row>
    <row r="61" spans="1:13" ht="14.25" customHeight="1">
      <c r="A61" s="137"/>
      <c r="B61" s="33"/>
      <c r="C61" s="17"/>
      <c r="D61" s="46" t="s">
        <v>139</v>
      </c>
      <c r="E61" s="187">
        <f>SUM(E62:E64)</f>
        <v>18000</v>
      </c>
      <c r="F61" s="187">
        <f>SUM(F62:F64)</f>
        <v>-5210</v>
      </c>
      <c r="G61" s="187">
        <f>SUM(G62:G64)</f>
        <v>12790</v>
      </c>
      <c r="H61" s="187">
        <f t="shared" si="10"/>
        <v>71.05555555555556</v>
      </c>
      <c r="I61" s="314">
        <f t="shared" si="11"/>
        <v>0.05515051714497631</v>
      </c>
      <c r="K61" s="187">
        <f>SUM(K62:K64)</f>
        <v>12788.130000000001</v>
      </c>
      <c r="L61" s="187">
        <f>SUM(L62:L64)</f>
        <v>12788.130000000001</v>
      </c>
      <c r="M61" s="511">
        <f t="shared" si="3"/>
        <v>1.8699999999989814</v>
      </c>
    </row>
    <row r="62" spans="1:13" ht="14.25" customHeight="1">
      <c r="A62" s="137" t="s">
        <v>40</v>
      </c>
      <c r="B62" s="33"/>
      <c r="C62" s="17">
        <v>412300</v>
      </c>
      <c r="D62" s="34" t="s">
        <v>277</v>
      </c>
      <c r="E62" s="196">
        <v>1000</v>
      </c>
      <c r="F62" s="196">
        <f t="shared" si="12"/>
        <v>0</v>
      </c>
      <c r="G62" s="196">
        <v>1000</v>
      </c>
      <c r="H62" s="207">
        <f t="shared" si="10"/>
        <v>100</v>
      </c>
      <c r="I62" s="288">
        <f t="shared" si="11"/>
        <v>0.004312002904220196</v>
      </c>
      <c r="K62" s="196">
        <v>1000</v>
      </c>
      <c r="L62" s="196">
        <v>1000</v>
      </c>
      <c r="M62" s="511">
        <f t="shared" si="3"/>
        <v>0</v>
      </c>
    </row>
    <row r="63" spans="1:13" s="8" customFormat="1" ht="14.25" customHeight="1">
      <c r="A63" s="40" t="s">
        <v>40</v>
      </c>
      <c r="B63" s="47"/>
      <c r="C63" s="38">
        <v>412500</v>
      </c>
      <c r="D63" s="34" t="s">
        <v>261</v>
      </c>
      <c r="E63" s="196">
        <v>12000</v>
      </c>
      <c r="F63" s="196">
        <f t="shared" si="12"/>
        <v>-4000</v>
      </c>
      <c r="G63" s="196">
        <v>8000</v>
      </c>
      <c r="H63" s="207">
        <f t="shared" si="10"/>
        <v>66.66666666666666</v>
      </c>
      <c r="I63" s="288">
        <f t="shared" si="11"/>
        <v>0.034496023233761566</v>
      </c>
      <c r="J63" s="388"/>
      <c r="K63" s="196">
        <v>8000</v>
      </c>
      <c r="L63" s="196">
        <v>8000</v>
      </c>
      <c r="M63" s="511">
        <f t="shared" si="3"/>
        <v>0</v>
      </c>
    </row>
    <row r="64" spans="1:13" ht="23.25" customHeight="1">
      <c r="A64" s="137" t="s">
        <v>40</v>
      </c>
      <c r="B64" s="33"/>
      <c r="C64" s="17">
        <v>412900</v>
      </c>
      <c r="D64" s="34" t="s">
        <v>262</v>
      </c>
      <c r="E64" s="196">
        <v>5000</v>
      </c>
      <c r="F64" s="196">
        <f t="shared" si="12"/>
        <v>-1210</v>
      </c>
      <c r="G64" s="196">
        <v>3790</v>
      </c>
      <c r="H64" s="207">
        <f t="shared" si="10"/>
        <v>75.8</v>
      </c>
      <c r="I64" s="288">
        <f t="shared" si="11"/>
        <v>0.016342491006994544</v>
      </c>
      <c r="K64" s="196">
        <v>3788.13</v>
      </c>
      <c r="L64" s="196">
        <v>3788.13</v>
      </c>
      <c r="M64" s="511">
        <f t="shared" si="3"/>
        <v>1.8699999999998909</v>
      </c>
    </row>
    <row r="65" spans="1:13" ht="24" customHeight="1">
      <c r="A65" s="580"/>
      <c r="B65" s="581"/>
      <c r="C65" s="550" t="s">
        <v>86</v>
      </c>
      <c r="D65" s="551"/>
      <c r="E65" s="71">
        <f>E56+E61</f>
        <v>44900</v>
      </c>
      <c r="F65" s="71">
        <f>F56+F61</f>
        <v>-2270</v>
      </c>
      <c r="G65" s="71">
        <f>G56+G61</f>
        <v>42630</v>
      </c>
      <c r="H65" s="328">
        <f t="shared" si="10"/>
        <v>94.94432071269487</v>
      </c>
      <c r="I65" s="324">
        <f t="shared" si="11"/>
        <v>0.18382068380690697</v>
      </c>
      <c r="K65" s="71">
        <f>K56+K61</f>
        <v>42625</v>
      </c>
      <c r="L65" s="71">
        <f>L56+L61</f>
        <v>42625</v>
      </c>
      <c r="M65" s="511">
        <f t="shared" si="3"/>
        <v>5</v>
      </c>
    </row>
    <row r="66" spans="1:13" ht="9.75" customHeight="1">
      <c r="A66" s="548"/>
      <c r="B66" s="549"/>
      <c r="C66" s="560" t="s">
        <v>121</v>
      </c>
      <c r="D66" s="582"/>
      <c r="E66" s="175"/>
      <c r="F66" s="175"/>
      <c r="G66" s="175"/>
      <c r="H66" s="175"/>
      <c r="I66" s="372"/>
      <c r="K66" s="175"/>
      <c r="L66" s="175"/>
      <c r="M66" s="511">
        <f t="shared" si="3"/>
        <v>0</v>
      </c>
    </row>
    <row r="67" spans="1:13" ht="9.75" customHeight="1">
      <c r="A67" s="548"/>
      <c r="B67" s="549"/>
      <c r="C67" s="560"/>
      <c r="D67" s="582"/>
      <c r="E67" s="176"/>
      <c r="F67" s="176"/>
      <c r="G67" s="176"/>
      <c r="H67" s="176"/>
      <c r="I67" s="373"/>
      <c r="K67" s="176"/>
      <c r="L67" s="176"/>
      <c r="M67" s="511">
        <f t="shared" si="3"/>
        <v>0</v>
      </c>
    </row>
    <row r="68" spans="1:13" ht="13.5" customHeight="1">
      <c r="A68" s="548"/>
      <c r="B68" s="549"/>
      <c r="C68" s="560"/>
      <c r="D68" s="582"/>
      <c r="E68" s="177"/>
      <c r="F68" s="177"/>
      <c r="G68" s="177"/>
      <c r="H68" s="177"/>
      <c r="I68" s="374"/>
      <c r="K68" s="177"/>
      <c r="L68" s="177"/>
      <c r="M68" s="511">
        <f t="shared" si="3"/>
        <v>0</v>
      </c>
    </row>
    <row r="69" spans="1:13" ht="21" customHeight="1">
      <c r="A69" s="137"/>
      <c r="B69" s="23">
        <v>411000</v>
      </c>
      <c r="C69" s="24"/>
      <c r="D69" s="26" t="s">
        <v>318</v>
      </c>
      <c r="E69" s="355">
        <f>SUM(E70:E73)</f>
        <v>2967500</v>
      </c>
      <c r="F69" s="355">
        <f>SUM(F70:F73)</f>
        <v>256500</v>
      </c>
      <c r="G69" s="355">
        <f>SUM(G70:G73)</f>
        <v>3224000</v>
      </c>
      <c r="H69" s="357">
        <f aca="true" t="shared" si="13" ref="H69:H82">IF(E69&gt;0,G69/E69*100,0)</f>
        <v>108.6436394271272</v>
      </c>
      <c r="I69" s="356">
        <f aca="true" t="shared" si="14" ref="I69:I82">G69/$G$502*100</f>
        <v>13.901897363205912</v>
      </c>
      <c r="K69" s="355">
        <f>SUM(K70:K73)</f>
        <v>3224000</v>
      </c>
      <c r="L69" s="355">
        <f>SUM(L70:L73)</f>
        <v>2986700</v>
      </c>
      <c r="M69" s="511">
        <f t="shared" si="3"/>
        <v>237300</v>
      </c>
    </row>
    <row r="70" spans="1:13" ht="12.75" customHeight="1">
      <c r="A70" s="137" t="s">
        <v>27</v>
      </c>
      <c r="B70" s="33"/>
      <c r="C70" s="17">
        <v>411100</v>
      </c>
      <c r="D70" s="27" t="s">
        <v>403</v>
      </c>
      <c r="E70" s="196">
        <v>2198000</v>
      </c>
      <c r="F70" s="196">
        <f aca="true" t="shared" si="15" ref="F70:F81">G70-E70</f>
        <v>400000</v>
      </c>
      <c r="G70" s="196">
        <v>2598000</v>
      </c>
      <c r="H70" s="207">
        <f t="shared" si="13"/>
        <v>118.19836214740673</v>
      </c>
      <c r="I70" s="288">
        <f t="shared" si="14"/>
        <v>11.20258354516407</v>
      </c>
      <c r="K70" s="196">
        <v>2598000</v>
      </c>
      <c r="L70" s="196">
        <v>2391000</v>
      </c>
      <c r="M70" s="511">
        <f t="shared" si="3"/>
        <v>207000</v>
      </c>
    </row>
    <row r="71" spans="1:13" ht="26.25" customHeight="1">
      <c r="A71" s="137" t="s">
        <v>27</v>
      </c>
      <c r="B71" s="33"/>
      <c r="C71" s="17">
        <v>411200</v>
      </c>
      <c r="D71" s="27" t="s">
        <v>410</v>
      </c>
      <c r="E71" s="196">
        <v>535000</v>
      </c>
      <c r="F71" s="196">
        <f t="shared" si="15"/>
        <v>20000</v>
      </c>
      <c r="G71" s="196">
        <v>555000</v>
      </c>
      <c r="H71" s="207">
        <f t="shared" si="13"/>
        <v>103.73831775700934</v>
      </c>
      <c r="I71" s="288">
        <f t="shared" si="14"/>
        <v>2.3931616118422085</v>
      </c>
      <c r="K71" s="196">
        <v>555000</v>
      </c>
      <c r="L71" s="196">
        <v>522000</v>
      </c>
      <c r="M71" s="511">
        <f t="shared" si="3"/>
        <v>33000</v>
      </c>
    </row>
    <row r="72" spans="1:13" ht="22.5" customHeight="1">
      <c r="A72" s="137" t="s">
        <v>27</v>
      </c>
      <c r="B72" s="33"/>
      <c r="C72" s="17">
        <v>411300</v>
      </c>
      <c r="D72" s="27" t="s">
        <v>404</v>
      </c>
      <c r="E72" s="196">
        <v>30000</v>
      </c>
      <c r="F72" s="196">
        <f t="shared" si="15"/>
        <v>13000</v>
      </c>
      <c r="G72" s="196">
        <v>43000</v>
      </c>
      <c r="H72" s="207">
        <f t="shared" si="13"/>
        <v>143.33333333333334</v>
      </c>
      <c r="I72" s="288">
        <f t="shared" si="14"/>
        <v>0.18541612488146844</v>
      </c>
      <c r="K72" s="196">
        <v>43000</v>
      </c>
      <c r="L72" s="196">
        <v>44000</v>
      </c>
      <c r="M72" s="511">
        <f t="shared" si="3"/>
        <v>-1000</v>
      </c>
    </row>
    <row r="73" spans="1:13" ht="12.75" customHeight="1">
      <c r="A73" s="137" t="s">
        <v>27</v>
      </c>
      <c r="B73" s="33"/>
      <c r="C73" s="17">
        <v>411400</v>
      </c>
      <c r="D73" s="29" t="s">
        <v>405</v>
      </c>
      <c r="E73" s="196">
        <v>204500</v>
      </c>
      <c r="F73" s="196">
        <f t="shared" si="15"/>
        <v>-176500</v>
      </c>
      <c r="G73" s="196">
        <v>28000</v>
      </c>
      <c r="H73" s="207">
        <f t="shared" si="13"/>
        <v>13.691931540342297</v>
      </c>
      <c r="I73" s="288">
        <f t="shared" si="14"/>
        <v>0.12073608131816548</v>
      </c>
      <c r="K73" s="196">
        <v>28000</v>
      </c>
      <c r="L73" s="196">
        <v>29700</v>
      </c>
      <c r="M73" s="511">
        <f aca="true" t="shared" si="16" ref="M73:M137">G73-L73</f>
        <v>-1700</v>
      </c>
    </row>
    <row r="74" spans="1:13" ht="14.25" customHeight="1">
      <c r="A74" s="137"/>
      <c r="B74" s="23">
        <v>412000</v>
      </c>
      <c r="C74" s="17"/>
      <c r="D74" s="32" t="s">
        <v>142</v>
      </c>
      <c r="E74" s="187">
        <f>SUM(E75:E79)</f>
        <v>13000</v>
      </c>
      <c r="F74" s="187">
        <f>SUM(F75:F79)</f>
        <v>2200</v>
      </c>
      <c r="G74" s="187">
        <f>SUM(G75:G79)</f>
        <v>15200</v>
      </c>
      <c r="H74" s="187">
        <f t="shared" si="13"/>
        <v>116.92307692307693</v>
      </c>
      <c r="I74" s="314">
        <f t="shared" si="14"/>
        <v>0.06554244414414698</v>
      </c>
      <c r="K74" s="187">
        <f>SUM(K75:K79)</f>
        <v>15200</v>
      </c>
      <c r="L74" s="187">
        <f>SUM(L75:L79)</f>
        <v>13800</v>
      </c>
      <c r="M74" s="511">
        <f t="shared" si="16"/>
        <v>1400</v>
      </c>
    </row>
    <row r="75" spans="1:13" ht="12.75" customHeight="1">
      <c r="A75" s="137" t="s">
        <v>27</v>
      </c>
      <c r="B75" s="33"/>
      <c r="C75" s="17">
        <v>412700</v>
      </c>
      <c r="D75" s="33" t="s">
        <v>115</v>
      </c>
      <c r="E75" s="196">
        <v>3800</v>
      </c>
      <c r="F75" s="196">
        <f t="shared" si="15"/>
        <v>2200</v>
      </c>
      <c r="G75" s="196">
        <v>6000</v>
      </c>
      <c r="H75" s="207">
        <f t="shared" si="13"/>
        <v>157.89473684210526</v>
      </c>
      <c r="I75" s="288">
        <f t="shared" si="14"/>
        <v>0.025872017425321178</v>
      </c>
      <c r="K75" s="196">
        <v>6000</v>
      </c>
      <c r="L75" s="196">
        <v>4600</v>
      </c>
      <c r="M75" s="511">
        <f t="shared" si="16"/>
        <v>1400</v>
      </c>
    </row>
    <row r="76" spans="1:13" ht="14.25" customHeight="1">
      <c r="A76" s="137" t="s">
        <v>27</v>
      </c>
      <c r="B76" s="33"/>
      <c r="C76" s="17">
        <v>412700</v>
      </c>
      <c r="D76" s="30" t="s">
        <v>168</v>
      </c>
      <c r="E76" s="196">
        <v>7300</v>
      </c>
      <c r="F76" s="196">
        <f t="shared" si="15"/>
        <v>0</v>
      </c>
      <c r="G76" s="196">
        <v>7300</v>
      </c>
      <c r="H76" s="207">
        <f t="shared" si="13"/>
        <v>100</v>
      </c>
      <c r="I76" s="288">
        <f t="shared" si="14"/>
        <v>0.03147762120080743</v>
      </c>
      <c r="K76" s="196">
        <v>7300</v>
      </c>
      <c r="L76" s="196">
        <v>7300</v>
      </c>
      <c r="M76" s="511">
        <f t="shared" si="16"/>
        <v>0</v>
      </c>
    </row>
    <row r="77" spans="1:13" ht="12.75" customHeight="1">
      <c r="A77" s="137" t="s">
        <v>27</v>
      </c>
      <c r="B77" s="33"/>
      <c r="C77" s="17">
        <v>412900</v>
      </c>
      <c r="D77" s="30" t="s">
        <v>0</v>
      </c>
      <c r="E77" s="196">
        <v>400</v>
      </c>
      <c r="F77" s="196">
        <f t="shared" si="15"/>
        <v>0</v>
      </c>
      <c r="G77" s="196">
        <v>400</v>
      </c>
      <c r="H77" s="207">
        <f t="shared" si="13"/>
        <v>100</v>
      </c>
      <c r="I77" s="288">
        <f t="shared" si="14"/>
        <v>0.0017248011616880785</v>
      </c>
      <c r="K77" s="196">
        <v>400</v>
      </c>
      <c r="L77" s="196">
        <v>400</v>
      </c>
      <c r="M77" s="511">
        <f t="shared" si="16"/>
        <v>0</v>
      </c>
    </row>
    <row r="78" spans="1:13" ht="12.75" customHeight="1">
      <c r="A78" s="137" t="s">
        <v>27</v>
      </c>
      <c r="B78" s="33"/>
      <c r="C78" s="17">
        <v>412900</v>
      </c>
      <c r="D78" s="30" t="s">
        <v>167</v>
      </c>
      <c r="E78" s="196">
        <v>1500</v>
      </c>
      <c r="F78" s="196">
        <f t="shared" si="15"/>
        <v>0</v>
      </c>
      <c r="G78" s="196">
        <v>1500</v>
      </c>
      <c r="H78" s="207">
        <f t="shared" si="13"/>
        <v>100</v>
      </c>
      <c r="I78" s="288">
        <f t="shared" si="14"/>
        <v>0.0064680043563302946</v>
      </c>
      <c r="K78" s="196">
        <v>1500</v>
      </c>
      <c r="L78" s="196">
        <v>1500</v>
      </c>
      <c r="M78" s="511">
        <f t="shared" si="16"/>
        <v>0</v>
      </c>
    </row>
    <row r="79" spans="1:13" ht="12.75" customHeight="1" hidden="1">
      <c r="A79" s="137" t="s">
        <v>27</v>
      </c>
      <c r="B79" s="33"/>
      <c r="C79" s="17">
        <v>412900</v>
      </c>
      <c r="D79" s="30" t="s">
        <v>323</v>
      </c>
      <c r="E79" s="70"/>
      <c r="F79" s="196">
        <f t="shared" si="15"/>
        <v>0</v>
      </c>
      <c r="G79" s="196"/>
      <c r="H79" s="187">
        <f t="shared" si="13"/>
        <v>0</v>
      </c>
      <c r="I79" s="314">
        <f t="shared" si="14"/>
        <v>0</v>
      </c>
      <c r="K79" s="196"/>
      <c r="L79" s="196"/>
      <c r="M79" s="511">
        <f t="shared" si="16"/>
        <v>0</v>
      </c>
    </row>
    <row r="80" spans="1:13" ht="20.25" customHeight="1">
      <c r="A80" s="204"/>
      <c r="B80" s="23">
        <v>638000</v>
      </c>
      <c r="C80" s="17"/>
      <c r="D80" s="32" t="s">
        <v>406</v>
      </c>
      <c r="E80" s="187">
        <f>SUM(E81)</f>
        <v>65000</v>
      </c>
      <c r="F80" s="187">
        <f>SUM(F81)</f>
        <v>-23000</v>
      </c>
      <c r="G80" s="187">
        <f>SUM(G81)</f>
        <v>42000</v>
      </c>
      <c r="H80" s="187">
        <f t="shared" si="13"/>
        <v>64.61538461538461</v>
      </c>
      <c r="I80" s="314">
        <f t="shared" si="14"/>
        <v>0.18110412197724823</v>
      </c>
      <c r="K80" s="187">
        <f>SUM(K81)</f>
        <v>42000</v>
      </c>
      <c r="L80" s="187">
        <f>SUM(L81)</f>
        <v>45000</v>
      </c>
      <c r="M80" s="511">
        <f t="shared" si="16"/>
        <v>-3000</v>
      </c>
    </row>
    <row r="81" spans="1:13" ht="35.25" customHeight="1">
      <c r="A81" s="137"/>
      <c r="B81" s="33"/>
      <c r="C81" s="17">
        <v>638100</v>
      </c>
      <c r="D81" s="30" t="s">
        <v>407</v>
      </c>
      <c r="E81" s="70">
        <v>65000</v>
      </c>
      <c r="F81" s="196">
        <f t="shared" si="15"/>
        <v>-23000</v>
      </c>
      <c r="G81" s="196">
        <v>42000</v>
      </c>
      <c r="H81" s="207">
        <f t="shared" si="13"/>
        <v>64.61538461538461</v>
      </c>
      <c r="I81" s="288">
        <f t="shared" si="14"/>
        <v>0.18110412197724823</v>
      </c>
      <c r="K81" s="196">
        <v>42000</v>
      </c>
      <c r="L81" s="196">
        <v>45000</v>
      </c>
      <c r="M81" s="511">
        <f t="shared" si="16"/>
        <v>-3000</v>
      </c>
    </row>
    <row r="82" spans="1:213" ht="30" customHeight="1">
      <c r="A82" s="548"/>
      <c r="B82" s="549"/>
      <c r="C82" s="550" t="s">
        <v>83</v>
      </c>
      <c r="D82" s="551"/>
      <c r="E82" s="71">
        <f>E69+E74+E80</f>
        <v>3045500</v>
      </c>
      <c r="F82" s="71">
        <f>F69+F74+F80</f>
        <v>235700</v>
      </c>
      <c r="G82" s="71">
        <f>G69+G74+G80</f>
        <v>3281200</v>
      </c>
      <c r="H82" s="323">
        <f t="shared" si="13"/>
        <v>107.73928747332128</v>
      </c>
      <c r="I82" s="324">
        <f t="shared" si="14"/>
        <v>14.148543929327307</v>
      </c>
      <c r="J82" s="387"/>
      <c r="K82" s="71">
        <f>K69+K74+K80</f>
        <v>3281200</v>
      </c>
      <c r="L82" s="71">
        <f>L69+L74+L80</f>
        <v>3045500</v>
      </c>
      <c r="M82" s="511">
        <f t="shared" si="16"/>
        <v>235700</v>
      </c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</row>
    <row r="83" spans="1:213" s="103" customFormat="1" ht="9.75" customHeight="1">
      <c r="A83" s="556"/>
      <c r="B83" s="557"/>
      <c r="C83" s="560" t="s">
        <v>122</v>
      </c>
      <c r="D83" s="582"/>
      <c r="E83" s="175"/>
      <c r="F83" s="175"/>
      <c r="G83" s="175"/>
      <c r="H83" s="175"/>
      <c r="I83" s="372"/>
      <c r="J83" s="387"/>
      <c r="K83" s="175"/>
      <c r="L83" s="175"/>
      <c r="M83" s="511">
        <f t="shared" si="16"/>
        <v>0</v>
      </c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</row>
    <row r="84" spans="1:13" s="60" customFormat="1" ht="9.75" customHeight="1">
      <c r="A84" s="556"/>
      <c r="B84" s="557"/>
      <c r="C84" s="560"/>
      <c r="D84" s="582"/>
      <c r="E84" s="176"/>
      <c r="F84" s="176"/>
      <c r="G84" s="176"/>
      <c r="H84" s="176"/>
      <c r="I84" s="373"/>
      <c r="J84" s="387"/>
      <c r="K84" s="176"/>
      <c r="L84" s="176"/>
      <c r="M84" s="511">
        <f t="shared" si="16"/>
        <v>0</v>
      </c>
    </row>
    <row r="85" spans="1:13" s="60" customFormat="1" ht="9.75" customHeight="1">
      <c r="A85" s="556"/>
      <c r="B85" s="557"/>
      <c r="C85" s="560"/>
      <c r="D85" s="582"/>
      <c r="E85" s="176"/>
      <c r="F85" s="176"/>
      <c r="G85" s="176"/>
      <c r="H85" s="176"/>
      <c r="I85" s="373"/>
      <c r="J85" s="387"/>
      <c r="K85" s="176"/>
      <c r="L85" s="176"/>
      <c r="M85" s="511">
        <f t="shared" si="16"/>
        <v>0</v>
      </c>
    </row>
    <row r="86" spans="1:213" s="104" customFormat="1" ht="13.5" customHeight="1">
      <c r="A86" s="556"/>
      <c r="B86" s="557"/>
      <c r="C86" s="560"/>
      <c r="D86" s="582"/>
      <c r="E86" s="177"/>
      <c r="F86" s="177"/>
      <c r="G86" s="177"/>
      <c r="H86" s="177"/>
      <c r="I86" s="374"/>
      <c r="J86" s="387"/>
      <c r="K86" s="177"/>
      <c r="L86" s="177"/>
      <c r="M86" s="511">
        <f t="shared" si="16"/>
        <v>0</v>
      </c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</row>
    <row r="87" spans="1:213" ht="14.25" customHeight="1">
      <c r="A87" s="137"/>
      <c r="B87" s="23">
        <v>412000</v>
      </c>
      <c r="C87" s="17"/>
      <c r="D87" s="32" t="s">
        <v>142</v>
      </c>
      <c r="E87" s="357">
        <f>SUM(E88:E89)</f>
        <v>60400</v>
      </c>
      <c r="F87" s="357">
        <f>SUM(F88:F89)</f>
        <v>0</v>
      </c>
      <c r="G87" s="357">
        <f>SUM(G88:G89)</f>
        <v>60400</v>
      </c>
      <c r="H87" s="357">
        <f aca="true" t="shared" si="17" ref="H87:H134">IF(E87&gt;0,G87/E87*100,0)</f>
        <v>100</v>
      </c>
      <c r="I87" s="356">
        <f aca="true" t="shared" si="18" ref="I87:I134">G87/$G$502*100</f>
        <v>0.26044497541489986</v>
      </c>
      <c r="J87" s="387"/>
      <c r="K87" s="357">
        <f>SUM(K88:K89)</f>
        <v>60400</v>
      </c>
      <c r="L87" s="357">
        <f>SUM(L88:L89)</f>
        <v>60400</v>
      </c>
      <c r="M87" s="511">
        <f t="shared" si="16"/>
        <v>0</v>
      </c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</row>
    <row r="88" spans="1:13" ht="13.5" customHeight="1">
      <c r="A88" s="137" t="s">
        <v>27</v>
      </c>
      <c r="B88" s="31"/>
      <c r="C88" s="33">
        <v>412700</v>
      </c>
      <c r="D88" s="30" t="s">
        <v>104</v>
      </c>
      <c r="E88" s="196">
        <v>60000</v>
      </c>
      <c r="F88" s="196">
        <f aca="true" t="shared" si="19" ref="F88:F133">G88-E88</f>
        <v>0</v>
      </c>
      <c r="G88" s="196">
        <v>60000</v>
      </c>
      <c r="H88" s="207">
        <f t="shared" si="17"/>
        <v>100</v>
      </c>
      <c r="I88" s="288">
        <f t="shared" si="18"/>
        <v>0.25872017425321175</v>
      </c>
      <c r="K88" s="196">
        <v>60000</v>
      </c>
      <c r="L88" s="196">
        <v>60000</v>
      </c>
      <c r="M88" s="511">
        <f t="shared" si="16"/>
        <v>0</v>
      </c>
    </row>
    <row r="89" spans="1:13" ht="12.75" customHeight="1">
      <c r="A89" s="137" t="s">
        <v>27</v>
      </c>
      <c r="B89" s="33"/>
      <c r="C89" s="17">
        <v>412900</v>
      </c>
      <c r="D89" s="30" t="s">
        <v>28</v>
      </c>
      <c r="E89" s="196">
        <v>400</v>
      </c>
      <c r="F89" s="196">
        <f t="shared" si="19"/>
        <v>0</v>
      </c>
      <c r="G89" s="196">
        <v>400</v>
      </c>
      <c r="H89" s="207">
        <f t="shared" si="17"/>
        <v>100</v>
      </c>
      <c r="I89" s="288">
        <f t="shared" si="18"/>
        <v>0.0017248011616880785</v>
      </c>
      <c r="K89" s="196">
        <v>400</v>
      </c>
      <c r="L89" s="196">
        <v>400</v>
      </c>
      <c r="M89" s="511">
        <f t="shared" si="16"/>
        <v>0</v>
      </c>
    </row>
    <row r="90" spans="1:13" ht="14.25" customHeight="1">
      <c r="A90" s="137"/>
      <c r="B90" s="23">
        <v>415000</v>
      </c>
      <c r="C90" s="33"/>
      <c r="D90" s="32" t="s">
        <v>156</v>
      </c>
      <c r="E90" s="249">
        <f>SUM(E91:E120)</f>
        <v>690000</v>
      </c>
      <c r="F90" s="249">
        <f>SUM(F91:F120)</f>
        <v>151680</v>
      </c>
      <c r="G90" s="249">
        <f>SUM(G91:G120)</f>
        <v>841680</v>
      </c>
      <c r="H90" s="187">
        <f t="shared" si="17"/>
        <v>121.98260869565219</v>
      </c>
      <c r="I90" s="314">
        <f t="shared" si="18"/>
        <v>3.6293266044240546</v>
      </c>
      <c r="K90" s="249">
        <f>SUM(K91:K120)</f>
        <v>841680</v>
      </c>
      <c r="L90" s="249">
        <f>SUM(L91:L120)</f>
        <v>811880</v>
      </c>
      <c r="M90" s="511">
        <f t="shared" si="16"/>
        <v>29800</v>
      </c>
    </row>
    <row r="91" spans="1:13" ht="12.75" customHeight="1">
      <c r="A91" s="137" t="s">
        <v>31</v>
      </c>
      <c r="B91" s="33"/>
      <c r="C91" s="62">
        <v>415200</v>
      </c>
      <c r="D91" s="49" t="s">
        <v>229</v>
      </c>
      <c r="E91" s="270">
        <v>4000</v>
      </c>
      <c r="F91" s="270">
        <f t="shared" si="19"/>
        <v>-400</v>
      </c>
      <c r="G91" s="270">
        <v>3600</v>
      </c>
      <c r="H91" s="207">
        <f t="shared" si="17"/>
        <v>90</v>
      </c>
      <c r="I91" s="288">
        <f t="shared" si="18"/>
        <v>0.015523210455192706</v>
      </c>
      <c r="K91" s="270">
        <v>3600</v>
      </c>
      <c r="L91" s="270">
        <v>3600</v>
      </c>
      <c r="M91" s="511">
        <f t="shared" si="16"/>
        <v>0</v>
      </c>
    </row>
    <row r="92" spans="1:13" ht="12.75" customHeight="1">
      <c r="A92" s="137" t="s">
        <v>33</v>
      </c>
      <c r="B92" s="33"/>
      <c r="C92" s="62">
        <v>415200</v>
      </c>
      <c r="D92" s="34" t="s">
        <v>34</v>
      </c>
      <c r="E92" s="184">
        <v>35000</v>
      </c>
      <c r="F92" s="184">
        <f t="shared" si="19"/>
        <v>-3500</v>
      </c>
      <c r="G92" s="184">
        <v>31500</v>
      </c>
      <c r="H92" s="207">
        <f t="shared" si="17"/>
        <v>90</v>
      </c>
      <c r="I92" s="288">
        <f t="shared" si="18"/>
        <v>0.13582809148293618</v>
      </c>
      <c r="K92" s="184">
        <v>31500</v>
      </c>
      <c r="L92" s="184">
        <v>31500</v>
      </c>
      <c r="M92" s="511">
        <f t="shared" si="16"/>
        <v>0</v>
      </c>
    </row>
    <row r="93" spans="1:13" ht="12.75" customHeight="1">
      <c r="A93" s="137" t="s">
        <v>33</v>
      </c>
      <c r="B93" s="33"/>
      <c r="C93" s="62">
        <v>415200</v>
      </c>
      <c r="D93" s="34" t="s">
        <v>366</v>
      </c>
      <c r="E93" s="184">
        <v>0</v>
      </c>
      <c r="F93" s="184">
        <f t="shared" si="19"/>
        <v>800</v>
      </c>
      <c r="G93" s="184">
        <v>800</v>
      </c>
      <c r="H93" s="207">
        <f t="shared" si="17"/>
        <v>0</v>
      </c>
      <c r="I93" s="288">
        <f t="shared" si="18"/>
        <v>0.003449602323376157</v>
      </c>
      <c r="K93" s="184">
        <v>800</v>
      </c>
      <c r="L93" s="184">
        <v>800</v>
      </c>
      <c r="M93" s="511">
        <f t="shared" si="16"/>
        <v>0</v>
      </c>
    </row>
    <row r="94" spans="1:13" ht="12.75" customHeight="1">
      <c r="A94" s="137" t="s">
        <v>35</v>
      </c>
      <c r="B94" s="33"/>
      <c r="C94" s="62">
        <v>415200</v>
      </c>
      <c r="D94" s="34" t="s">
        <v>289</v>
      </c>
      <c r="E94" s="184">
        <v>210000</v>
      </c>
      <c r="F94" s="184">
        <f t="shared" si="19"/>
        <v>26000</v>
      </c>
      <c r="G94" s="184">
        <v>236000</v>
      </c>
      <c r="H94" s="207">
        <f t="shared" si="17"/>
        <v>112.38095238095238</v>
      </c>
      <c r="I94" s="288">
        <f t="shared" si="18"/>
        <v>1.0176326853959663</v>
      </c>
      <c r="J94" s="465"/>
      <c r="K94" s="184">
        <v>236000</v>
      </c>
      <c r="L94" s="184">
        <v>236000</v>
      </c>
      <c r="M94" s="511">
        <f t="shared" si="16"/>
        <v>0</v>
      </c>
    </row>
    <row r="95" spans="1:13" ht="15" customHeight="1">
      <c r="A95" s="137" t="s">
        <v>35</v>
      </c>
      <c r="B95" s="33"/>
      <c r="C95" s="62">
        <v>415200</v>
      </c>
      <c r="D95" s="34" t="s">
        <v>290</v>
      </c>
      <c r="E95" s="184">
        <v>0</v>
      </c>
      <c r="F95" s="184">
        <f t="shared" si="19"/>
        <v>37480</v>
      </c>
      <c r="G95" s="184">
        <v>37480</v>
      </c>
      <c r="H95" s="207">
        <f t="shared" si="17"/>
        <v>0</v>
      </c>
      <c r="I95" s="288">
        <f t="shared" si="18"/>
        <v>0.16161386885017295</v>
      </c>
      <c r="K95" s="184">
        <v>37480</v>
      </c>
      <c r="L95" s="184">
        <v>37480</v>
      </c>
      <c r="M95" s="511">
        <f t="shared" si="16"/>
        <v>0</v>
      </c>
    </row>
    <row r="96" spans="1:13" ht="14.25" customHeight="1">
      <c r="A96" s="137" t="s">
        <v>36</v>
      </c>
      <c r="B96" s="33"/>
      <c r="C96" s="62">
        <v>415200</v>
      </c>
      <c r="D96" s="34" t="s">
        <v>116</v>
      </c>
      <c r="E96" s="184">
        <v>22000</v>
      </c>
      <c r="F96" s="184">
        <f t="shared" si="19"/>
        <v>10000</v>
      </c>
      <c r="G96" s="184">
        <v>32000</v>
      </c>
      <c r="H96" s="207">
        <f t="shared" si="17"/>
        <v>145.45454545454547</v>
      </c>
      <c r="I96" s="288">
        <f t="shared" si="18"/>
        <v>0.13798409293504627</v>
      </c>
      <c r="K96" s="184">
        <v>32000</v>
      </c>
      <c r="L96" s="184">
        <v>32000</v>
      </c>
      <c r="M96" s="511">
        <f t="shared" si="16"/>
        <v>0</v>
      </c>
    </row>
    <row r="97" spans="1:13" ht="25.5" customHeight="1">
      <c r="A97" s="137" t="s">
        <v>36</v>
      </c>
      <c r="B97" s="33"/>
      <c r="C97" s="62">
        <v>415200</v>
      </c>
      <c r="D97" s="34" t="s">
        <v>270</v>
      </c>
      <c r="E97" s="184">
        <v>0</v>
      </c>
      <c r="F97" s="184">
        <f t="shared" si="19"/>
        <v>12800</v>
      </c>
      <c r="G97" s="184">
        <v>12800</v>
      </c>
      <c r="H97" s="207">
        <f t="shared" si="17"/>
        <v>0</v>
      </c>
      <c r="I97" s="288">
        <f t="shared" si="18"/>
        <v>0.05519363717401851</v>
      </c>
      <c r="K97" s="184">
        <v>12800</v>
      </c>
      <c r="L97" s="184">
        <v>12800</v>
      </c>
      <c r="M97" s="511">
        <f t="shared" si="16"/>
        <v>0</v>
      </c>
    </row>
    <row r="98" spans="1:13" ht="13.5" customHeight="1">
      <c r="A98" s="40" t="s">
        <v>33</v>
      </c>
      <c r="B98" s="33"/>
      <c r="C98" s="62">
        <v>415200</v>
      </c>
      <c r="D98" s="30" t="s">
        <v>429</v>
      </c>
      <c r="E98" s="184">
        <v>8000</v>
      </c>
      <c r="F98" s="184">
        <f t="shared" si="19"/>
        <v>-800</v>
      </c>
      <c r="G98" s="184">
        <v>7200</v>
      </c>
      <c r="H98" s="207">
        <f t="shared" si="17"/>
        <v>90</v>
      </c>
      <c r="I98" s="288">
        <f t="shared" si="18"/>
        <v>0.03104642091038541</v>
      </c>
      <c r="K98" s="184">
        <v>7200</v>
      </c>
      <c r="L98" s="184">
        <v>7200</v>
      </c>
      <c r="M98" s="511">
        <f t="shared" si="16"/>
        <v>0</v>
      </c>
    </row>
    <row r="99" spans="1:13" ht="13.5" customHeight="1" hidden="1">
      <c r="A99" s="40" t="s">
        <v>33</v>
      </c>
      <c r="B99" s="33"/>
      <c r="C99" s="62">
        <v>415200</v>
      </c>
      <c r="D99" s="30" t="s">
        <v>509</v>
      </c>
      <c r="E99" s="184">
        <v>0</v>
      </c>
      <c r="F99" s="184">
        <f t="shared" si="19"/>
        <v>0</v>
      </c>
      <c r="G99" s="184"/>
      <c r="H99" s="207">
        <f t="shared" si="17"/>
        <v>0</v>
      </c>
      <c r="I99" s="288">
        <f t="shared" si="18"/>
        <v>0</v>
      </c>
      <c r="K99" s="184"/>
      <c r="L99" s="184"/>
      <c r="M99" s="511">
        <f t="shared" si="16"/>
        <v>0</v>
      </c>
    </row>
    <row r="100" spans="1:13" ht="13.5" customHeight="1">
      <c r="A100" s="40" t="s">
        <v>33</v>
      </c>
      <c r="B100" s="33"/>
      <c r="C100" s="62">
        <v>415200</v>
      </c>
      <c r="D100" s="30" t="s">
        <v>431</v>
      </c>
      <c r="E100" s="184">
        <v>6000</v>
      </c>
      <c r="F100" s="184">
        <f t="shared" si="19"/>
        <v>-600</v>
      </c>
      <c r="G100" s="184">
        <v>5400</v>
      </c>
      <c r="H100" s="207">
        <f t="shared" si="17"/>
        <v>90</v>
      </c>
      <c r="I100" s="288">
        <f t="shared" si="18"/>
        <v>0.02328481568278906</v>
      </c>
      <c r="K100" s="184">
        <v>5400</v>
      </c>
      <c r="L100" s="184">
        <v>5400</v>
      </c>
      <c r="M100" s="511">
        <f t="shared" si="16"/>
        <v>0</v>
      </c>
    </row>
    <row r="101" spans="1:13" ht="13.5" customHeight="1">
      <c r="A101" s="40" t="s">
        <v>432</v>
      </c>
      <c r="B101" s="33"/>
      <c r="C101" s="62">
        <v>415200</v>
      </c>
      <c r="D101" s="30" t="s">
        <v>430</v>
      </c>
      <c r="E101" s="184">
        <v>6000</v>
      </c>
      <c r="F101" s="184">
        <f t="shared" si="19"/>
        <v>-600</v>
      </c>
      <c r="G101" s="184">
        <v>5400</v>
      </c>
      <c r="H101" s="207">
        <f t="shared" si="17"/>
        <v>90</v>
      </c>
      <c r="I101" s="288">
        <f t="shared" si="18"/>
        <v>0.02328481568278906</v>
      </c>
      <c r="K101" s="184">
        <v>5400</v>
      </c>
      <c r="L101" s="184">
        <v>5400</v>
      </c>
      <c r="M101" s="511">
        <f t="shared" si="16"/>
        <v>0</v>
      </c>
    </row>
    <row r="102" spans="1:13" ht="12.75" customHeight="1">
      <c r="A102" s="137" t="s">
        <v>36</v>
      </c>
      <c r="B102" s="33"/>
      <c r="C102" s="62">
        <v>415200</v>
      </c>
      <c r="D102" s="30" t="s">
        <v>117</v>
      </c>
      <c r="E102" s="184">
        <v>20000</v>
      </c>
      <c r="F102" s="184">
        <f t="shared" si="19"/>
        <v>0</v>
      </c>
      <c r="G102" s="184">
        <v>20000</v>
      </c>
      <c r="H102" s="207">
        <f t="shared" si="17"/>
        <v>100</v>
      </c>
      <c r="I102" s="288">
        <f t="shared" si="18"/>
        <v>0.08624005808440392</v>
      </c>
      <c r="K102" s="184">
        <v>20000</v>
      </c>
      <c r="L102" s="184">
        <v>20000</v>
      </c>
      <c r="M102" s="511">
        <f t="shared" si="16"/>
        <v>0</v>
      </c>
    </row>
    <row r="103" spans="1:13" ht="13.5" customHeight="1">
      <c r="A103" s="137" t="s">
        <v>36</v>
      </c>
      <c r="B103" s="33"/>
      <c r="C103" s="62">
        <v>415200</v>
      </c>
      <c r="D103" s="34" t="s">
        <v>269</v>
      </c>
      <c r="E103" s="184">
        <v>0</v>
      </c>
      <c r="F103" s="184">
        <f t="shared" si="19"/>
        <v>2400</v>
      </c>
      <c r="G103" s="184">
        <v>2400</v>
      </c>
      <c r="H103" s="207">
        <f t="shared" si="17"/>
        <v>0</v>
      </c>
      <c r="I103" s="288">
        <f t="shared" si="18"/>
        <v>0.010348806970128471</v>
      </c>
      <c r="K103" s="184">
        <v>2400</v>
      </c>
      <c r="L103" s="184">
        <v>2400</v>
      </c>
      <c r="M103" s="511">
        <f t="shared" si="16"/>
        <v>0</v>
      </c>
    </row>
    <row r="104" spans="1:13" ht="24">
      <c r="A104" s="137" t="s">
        <v>36</v>
      </c>
      <c r="B104" s="33"/>
      <c r="C104" s="62">
        <v>415200</v>
      </c>
      <c r="D104" s="34" t="s">
        <v>333</v>
      </c>
      <c r="E104" s="184">
        <v>10000</v>
      </c>
      <c r="F104" s="184">
        <f t="shared" si="19"/>
        <v>0</v>
      </c>
      <c r="G104" s="184">
        <v>10000</v>
      </c>
      <c r="H104" s="207">
        <f t="shared" si="17"/>
        <v>100</v>
      </c>
      <c r="I104" s="288">
        <f t="shared" si="18"/>
        <v>0.04312002904220196</v>
      </c>
      <c r="K104" s="184">
        <v>10000</v>
      </c>
      <c r="L104" s="184">
        <v>10000</v>
      </c>
      <c r="M104" s="511">
        <f t="shared" si="16"/>
        <v>0</v>
      </c>
    </row>
    <row r="105" spans="1:13" ht="24" hidden="1">
      <c r="A105" s="137" t="s">
        <v>36</v>
      </c>
      <c r="B105" s="33"/>
      <c r="C105" s="62">
        <v>415200</v>
      </c>
      <c r="D105" s="34" t="s">
        <v>492</v>
      </c>
      <c r="E105" s="184">
        <v>0</v>
      </c>
      <c r="F105" s="184">
        <f t="shared" si="19"/>
        <v>0</v>
      </c>
      <c r="G105" s="184"/>
      <c r="H105" s="207">
        <f t="shared" si="17"/>
        <v>0</v>
      </c>
      <c r="I105" s="288">
        <f t="shared" si="18"/>
        <v>0</v>
      </c>
      <c r="K105" s="184"/>
      <c r="L105" s="184"/>
      <c r="M105" s="511">
        <f t="shared" si="16"/>
        <v>0</v>
      </c>
    </row>
    <row r="106" spans="1:13" ht="36">
      <c r="A106" s="137" t="s">
        <v>36</v>
      </c>
      <c r="B106" s="33"/>
      <c r="C106" s="62">
        <v>415200</v>
      </c>
      <c r="D106" s="34" t="s">
        <v>598</v>
      </c>
      <c r="E106" s="184">
        <v>0</v>
      </c>
      <c r="F106" s="184">
        <f t="shared" si="19"/>
        <v>20000</v>
      </c>
      <c r="G106" s="184">
        <v>20000</v>
      </c>
      <c r="H106" s="207">
        <f t="shared" si="17"/>
        <v>0</v>
      </c>
      <c r="I106" s="288">
        <f t="shared" si="18"/>
        <v>0.08624005808440392</v>
      </c>
      <c r="K106" s="184">
        <v>20000</v>
      </c>
      <c r="L106" s="184">
        <v>0</v>
      </c>
      <c r="M106" s="511"/>
    </row>
    <row r="107" spans="1:13" ht="12.75" customHeight="1">
      <c r="A107" s="137" t="s">
        <v>36</v>
      </c>
      <c r="B107" s="33"/>
      <c r="C107" s="62">
        <v>415200</v>
      </c>
      <c r="D107" s="34" t="s">
        <v>100</v>
      </c>
      <c r="E107" s="184">
        <v>30000</v>
      </c>
      <c r="F107" s="184">
        <f t="shared" si="19"/>
        <v>-3000</v>
      </c>
      <c r="G107" s="184">
        <v>27000</v>
      </c>
      <c r="H107" s="207">
        <f t="shared" si="17"/>
        <v>90</v>
      </c>
      <c r="I107" s="288">
        <f t="shared" si="18"/>
        <v>0.1164240784139453</v>
      </c>
      <c r="K107" s="184">
        <v>27000</v>
      </c>
      <c r="L107" s="184">
        <v>27000</v>
      </c>
      <c r="M107" s="511">
        <f t="shared" si="16"/>
        <v>0</v>
      </c>
    </row>
    <row r="108" spans="1:13" ht="15.75" customHeight="1">
      <c r="A108" s="137" t="s">
        <v>36</v>
      </c>
      <c r="B108" s="33"/>
      <c r="C108" s="62">
        <v>415200</v>
      </c>
      <c r="D108" s="34" t="s">
        <v>453</v>
      </c>
      <c r="E108" s="184">
        <v>0</v>
      </c>
      <c r="F108" s="184">
        <f t="shared" si="19"/>
        <v>5700</v>
      </c>
      <c r="G108" s="184">
        <v>5700</v>
      </c>
      <c r="H108" s="207">
        <f t="shared" si="17"/>
        <v>0</v>
      </c>
      <c r="I108" s="288">
        <f t="shared" si="18"/>
        <v>0.02457841655405512</v>
      </c>
      <c r="K108" s="184">
        <v>5700</v>
      </c>
      <c r="L108" s="184">
        <v>5700</v>
      </c>
      <c r="M108" s="511">
        <f t="shared" si="16"/>
        <v>0</v>
      </c>
    </row>
    <row r="109" spans="1:13" ht="24.75" customHeight="1">
      <c r="A109" s="137" t="s">
        <v>36</v>
      </c>
      <c r="B109" s="33"/>
      <c r="C109" s="62">
        <v>415200</v>
      </c>
      <c r="D109" s="34" t="s">
        <v>97</v>
      </c>
      <c r="E109" s="184">
        <v>4000</v>
      </c>
      <c r="F109" s="184">
        <f t="shared" si="19"/>
        <v>-4000</v>
      </c>
      <c r="G109" s="184">
        <v>0</v>
      </c>
      <c r="H109" s="207">
        <f t="shared" si="17"/>
        <v>0</v>
      </c>
      <c r="I109" s="288">
        <f t="shared" si="18"/>
        <v>0</v>
      </c>
      <c r="K109" s="184">
        <v>0</v>
      </c>
      <c r="L109" s="184">
        <v>0</v>
      </c>
      <c r="M109" s="511">
        <f t="shared" si="16"/>
        <v>0</v>
      </c>
    </row>
    <row r="110" spans="1:13" ht="24.75" customHeight="1">
      <c r="A110" s="137" t="s">
        <v>47</v>
      </c>
      <c r="B110" s="23"/>
      <c r="C110" s="62">
        <v>415200</v>
      </c>
      <c r="D110" s="44" t="s">
        <v>215</v>
      </c>
      <c r="E110" s="184">
        <v>50000</v>
      </c>
      <c r="F110" s="184">
        <f t="shared" si="19"/>
        <v>30000</v>
      </c>
      <c r="G110" s="184">
        <v>80000</v>
      </c>
      <c r="H110" s="207">
        <f t="shared" si="17"/>
        <v>160</v>
      </c>
      <c r="I110" s="288">
        <f t="shared" si="18"/>
        <v>0.3449602323376157</v>
      </c>
      <c r="K110" s="184">
        <v>80000</v>
      </c>
      <c r="L110" s="184">
        <v>80000</v>
      </c>
      <c r="M110" s="511">
        <f t="shared" si="16"/>
        <v>0</v>
      </c>
    </row>
    <row r="111" spans="1:13" ht="24.75" customHeight="1">
      <c r="A111" s="137" t="s">
        <v>47</v>
      </c>
      <c r="B111" s="23"/>
      <c r="C111" s="62">
        <v>415200</v>
      </c>
      <c r="D111" s="34" t="s">
        <v>268</v>
      </c>
      <c r="E111" s="184">
        <v>0</v>
      </c>
      <c r="F111" s="184">
        <f t="shared" si="19"/>
        <v>37600</v>
      </c>
      <c r="G111" s="184">
        <v>37600</v>
      </c>
      <c r="H111" s="207">
        <f t="shared" si="17"/>
        <v>0</v>
      </c>
      <c r="I111" s="288">
        <f t="shared" si="18"/>
        <v>0.16213130919867938</v>
      </c>
      <c r="K111" s="184">
        <v>37600</v>
      </c>
      <c r="L111" s="184">
        <v>37600</v>
      </c>
      <c r="M111" s="511">
        <f t="shared" si="16"/>
        <v>0</v>
      </c>
    </row>
    <row r="112" spans="1:13" ht="12.75">
      <c r="A112" s="137" t="s">
        <v>37</v>
      </c>
      <c r="B112" s="33"/>
      <c r="C112" s="17">
        <v>415200</v>
      </c>
      <c r="D112" s="34" t="s">
        <v>98</v>
      </c>
      <c r="E112" s="184">
        <v>130000</v>
      </c>
      <c r="F112" s="184">
        <f t="shared" si="19"/>
        <v>-13000</v>
      </c>
      <c r="G112" s="184">
        <v>117000</v>
      </c>
      <c r="H112" s="207">
        <f t="shared" si="17"/>
        <v>90</v>
      </c>
      <c r="I112" s="288">
        <f t="shared" si="18"/>
        <v>0.5045043397937629</v>
      </c>
      <c r="K112" s="184">
        <v>117000</v>
      </c>
      <c r="L112" s="184">
        <v>117000</v>
      </c>
      <c r="M112" s="511">
        <f t="shared" si="16"/>
        <v>0</v>
      </c>
    </row>
    <row r="113" spans="1:13" ht="12.75">
      <c r="A113" s="40" t="s">
        <v>208</v>
      </c>
      <c r="B113" s="47"/>
      <c r="C113" s="38">
        <v>415200</v>
      </c>
      <c r="D113" s="34" t="s">
        <v>216</v>
      </c>
      <c r="E113" s="184">
        <v>20000</v>
      </c>
      <c r="F113" s="184">
        <f t="shared" si="19"/>
        <v>-2000</v>
      </c>
      <c r="G113" s="184">
        <v>18000</v>
      </c>
      <c r="H113" s="207">
        <f t="shared" si="17"/>
        <v>90</v>
      </c>
      <c r="I113" s="288">
        <f t="shared" si="18"/>
        <v>0.07761605227596353</v>
      </c>
      <c r="K113" s="184">
        <v>18000</v>
      </c>
      <c r="L113" s="184">
        <v>18000</v>
      </c>
      <c r="M113" s="511">
        <f t="shared" si="16"/>
        <v>0</v>
      </c>
    </row>
    <row r="114" spans="1:13" ht="24" customHeight="1">
      <c r="A114" s="40" t="s">
        <v>33</v>
      </c>
      <c r="B114" s="47"/>
      <c r="C114" s="38">
        <v>415200</v>
      </c>
      <c r="D114" s="34" t="s">
        <v>244</v>
      </c>
      <c r="E114" s="184">
        <v>45000</v>
      </c>
      <c r="F114" s="184">
        <f t="shared" si="19"/>
        <v>-4500</v>
      </c>
      <c r="G114" s="184">
        <v>40500</v>
      </c>
      <c r="H114" s="207">
        <f t="shared" si="17"/>
        <v>90</v>
      </c>
      <c r="I114" s="288">
        <f t="shared" si="18"/>
        <v>0.17463611762091796</v>
      </c>
      <c r="K114" s="184">
        <v>40500</v>
      </c>
      <c r="L114" s="184">
        <v>40500</v>
      </c>
      <c r="M114" s="511">
        <f t="shared" si="16"/>
        <v>0</v>
      </c>
    </row>
    <row r="115" spans="1:13" ht="1.5" customHeight="1" hidden="1">
      <c r="A115" s="40" t="s">
        <v>33</v>
      </c>
      <c r="B115" s="47"/>
      <c r="C115" s="38">
        <v>415200</v>
      </c>
      <c r="D115" s="34" t="s">
        <v>367</v>
      </c>
      <c r="E115" s="184">
        <v>0</v>
      </c>
      <c r="F115" s="184">
        <f t="shared" si="19"/>
        <v>0</v>
      </c>
      <c r="G115" s="184"/>
      <c r="H115" s="207">
        <f t="shared" si="17"/>
        <v>0</v>
      </c>
      <c r="I115" s="288">
        <f t="shared" si="18"/>
        <v>0</v>
      </c>
      <c r="K115" s="184"/>
      <c r="L115" s="184"/>
      <c r="M115" s="511">
        <f t="shared" si="16"/>
        <v>0</v>
      </c>
    </row>
    <row r="116" spans="1:13" ht="12.75" customHeight="1">
      <c r="A116" s="137" t="s">
        <v>38</v>
      </c>
      <c r="B116" s="33"/>
      <c r="C116" s="17">
        <v>415200</v>
      </c>
      <c r="D116" s="30" t="s">
        <v>99</v>
      </c>
      <c r="E116" s="184">
        <v>80000</v>
      </c>
      <c r="F116" s="184">
        <f t="shared" si="19"/>
        <v>-8000</v>
      </c>
      <c r="G116" s="184">
        <v>72000</v>
      </c>
      <c r="H116" s="207">
        <f t="shared" si="17"/>
        <v>90</v>
      </c>
      <c r="I116" s="288">
        <f t="shared" si="18"/>
        <v>0.31046420910385414</v>
      </c>
      <c r="K116" s="184">
        <v>72000</v>
      </c>
      <c r="L116" s="184">
        <v>72000</v>
      </c>
      <c r="M116" s="511">
        <f t="shared" si="16"/>
        <v>0</v>
      </c>
    </row>
    <row r="117" spans="1:13" ht="15.75" customHeight="1">
      <c r="A117" s="137" t="s">
        <v>38</v>
      </c>
      <c r="B117" s="33"/>
      <c r="C117" s="17">
        <v>415200</v>
      </c>
      <c r="D117" s="34" t="s">
        <v>267</v>
      </c>
      <c r="E117" s="184">
        <v>0</v>
      </c>
      <c r="F117" s="184">
        <f t="shared" si="19"/>
        <v>500</v>
      </c>
      <c r="G117" s="184">
        <v>500</v>
      </c>
      <c r="H117" s="207">
        <f t="shared" si="17"/>
        <v>0</v>
      </c>
      <c r="I117" s="288">
        <f t="shared" si="18"/>
        <v>0.002156001452110098</v>
      </c>
      <c r="K117" s="184">
        <v>500</v>
      </c>
      <c r="L117" s="184">
        <v>500</v>
      </c>
      <c r="M117" s="511">
        <f t="shared" si="16"/>
        <v>0</v>
      </c>
    </row>
    <row r="118" spans="1:13" ht="31.5" customHeight="1">
      <c r="A118" s="137" t="s">
        <v>184</v>
      </c>
      <c r="B118" s="112"/>
      <c r="C118" s="17">
        <v>415200</v>
      </c>
      <c r="D118" s="34" t="s">
        <v>331</v>
      </c>
      <c r="E118" s="184">
        <v>10000</v>
      </c>
      <c r="F118" s="184">
        <f t="shared" si="19"/>
        <v>8800</v>
      </c>
      <c r="G118" s="184">
        <v>18800</v>
      </c>
      <c r="H118" s="207">
        <f t="shared" si="17"/>
        <v>188</v>
      </c>
      <c r="I118" s="288">
        <f t="shared" si="18"/>
        <v>0.08106565459933969</v>
      </c>
      <c r="K118" s="184">
        <v>18800</v>
      </c>
      <c r="L118" s="184">
        <v>9000</v>
      </c>
      <c r="M118" s="511">
        <f t="shared" si="16"/>
        <v>9800</v>
      </c>
    </row>
    <row r="119" spans="1:13" ht="20.25" customHeight="1" hidden="1">
      <c r="A119" s="137" t="s">
        <v>184</v>
      </c>
      <c r="B119" s="112"/>
      <c r="C119" s="17">
        <v>415200</v>
      </c>
      <c r="D119" s="34" t="s">
        <v>383</v>
      </c>
      <c r="E119" s="184"/>
      <c r="F119" s="184">
        <f t="shared" si="19"/>
        <v>0</v>
      </c>
      <c r="G119" s="184"/>
      <c r="H119" s="207">
        <f t="shared" si="17"/>
        <v>0</v>
      </c>
      <c r="I119" s="288">
        <f t="shared" si="18"/>
        <v>0</v>
      </c>
      <c r="K119" s="184"/>
      <c r="L119" s="184"/>
      <c r="M119" s="511">
        <f t="shared" si="16"/>
        <v>0</v>
      </c>
    </row>
    <row r="120" spans="1:13" ht="20.25" customHeight="1" hidden="1">
      <c r="A120" s="137" t="s">
        <v>36</v>
      </c>
      <c r="B120" s="112"/>
      <c r="C120" s="17">
        <v>415200</v>
      </c>
      <c r="D120" s="34" t="s">
        <v>438</v>
      </c>
      <c r="E120" s="270">
        <v>0</v>
      </c>
      <c r="F120" s="270">
        <f t="shared" si="19"/>
        <v>0</v>
      </c>
      <c r="G120" s="270"/>
      <c r="H120" s="207">
        <f t="shared" si="17"/>
        <v>0</v>
      </c>
      <c r="I120" s="288">
        <f t="shared" si="18"/>
        <v>0</v>
      </c>
      <c r="K120" s="270"/>
      <c r="L120" s="270"/>
      <c r="M120" s="511">
        <f t="shared" si="16"/>
        <v>0</v>
      </c>
    </row>
    <row r="121" spans="1:13" ht="14.25" customHeight="1">
      <c r="A121" s="137"/>
      <c r="B121" s="76">
        <v>416000</v>
      </c>
      <c r="C121" s="31"/>
      <c r="D121" s="89" t="s">
        <v>1</v>
      </c>
      <c r="E121" s="187">
        <f>SUM(E122:E129)</f>
        <v>405000</v>
      </c>
      <c r="F121" s="187">
        <f>SUM(F122:F129)</f>
        <v>3914</v>
      </c>
      <c r="G121" s="187">
        <f>SUM(G122:G129)</f>
        <v>408914</v>
      </c>
      <c r="H121" s="187">
        <f t="shared" si="17"/>
        <v>100.96641975308643</v>
      </c>
      <c r="I121" s="314">
        <f t="shared" si="18"/>
        <v>1.7632383555762972</v>
      </c>
      <c r="K121" s="187">
        <f>SUM(K122:K129)</f>
        <v>412213.21</v>
      </c>
      <c r="L121" s="187">
        <f>SUM(L122:L129)</f>
        <v>409063.21</v>
      </c>
      <c r="M121" s="511">
        <f t="shared" si="16"/>
        <v>-149.21000000002095</v>
      </c>
    </row>
    <row r="122" spans="1:13" ht="12.75">
      <c r="A122" s="40" t="s">
        <v>173</v>
      </c>
      <c r="B122" s="33"/>
      <c r="C122" s="17">
        <v>416100</v>
      </c>
      <c r="D122" s="34" t="s">
        <v>202</v>
      </c>
      <c r="E122" s="184">
        <v>300000</v>
      </c>
      <c r="F122" s="184">
        <f t="shared" si="19"/>
        <v>-22400</v>
      </c>
      <c r="G122" s="184">
        <v>277600</v>
      </c>
      <c r="H122" s="207">
        <f t="shared" si="17"/>
        <v>92.53333333333333</v>
      </c>
      <c r="I122" s="288">
        <f t="shared" si="18"/>
        <v>1.1970120062115266</v>
      </c>
      <c r="K122" s="184">
        <v>277600</v>
      </c>
      <c r="L122" s="184">
        <v>277600</v>
      </c>
      <c r="M122" s="511">
        <f t="shared" si="16"/>
        <v>0</v>
      </c>
    </row>
    <row r="123" spans="1:13" ht="24" customHeight="1">
      <c r="A123" s="40" t="s">
        <v>173</v>
      </c>
      <c r="B123" s="33"/>
      <c r="C123" s="17">
        <v>416100</v>
      </c>
      <c r="D123" s="34" t="s">
        <v>524</v>
      </c>
      <c r="E123" s="184">
        <v>15000</v>
      </c>
      <c r="F123" s="184">
        <f t="shared" si="19"/>
        <v>4250</v>
      </c>
      <c r="G123" s="184">
        <v>19250</v>
      </c>
      <c r="H123" s="207">
        <f t="shared" si="17"/>
        <v>128.33333333333334</v>
      </c>
      <c r="I123" s="288">
        <f t="shared" si="18"/>
        <v>0.08300605590623877</v>
      </c>
      <c r="K123" s="184">
        <v>19250</v>
      </c>
      <c r="L123" s="184">
        <v>19250</v>
      </c>
      <c r="M123" s="511">
        <f t="shared" si="16"/>
        <v>0</v>
      </c>
    </row>
    <row r="124" spans="1:13" ht="24">
      <c r="A124" s="40" t="s">
        <v>173</v>
      </c>
      <c r="B124" s="33"/>
      <c r="C124" s="17">
        <v>416100</v>
      </c>
      <c r="D124" s="34" t="s">
        <v>554</v>
      </c>
      <c r="E124" s="184">
        <v>0</v>
      </c>
      <c r="F124" s="184">
        <f t="shared" si="19"/>
        <v>7339</v>
      </c>
      <c r="G124" s="184">
        <v>7339</v>
      </c>
      <c r="H124" s="207">
        <f>IF(E124&gt;0,G124/E124*100,0)</f>
        <v>0</v>
      </c>
      <c r="I124" s="288">
        <f t="shared" si="18"/>
        <v>0.03164578931407202</v>
      </c>
      <c r="K124" s="184">
        <v>7339</v>
      </c>
      <c r="L124" s="184">
        <v>7339</v>
      </c>
      <c r="M124" s="511">
        <f t="shared" si="16"/>
        <v>0</v>
      </c>
    </row>
    <row r="125" spans="1:13" ht="12.75">
      <c r="A125" s="40" t="s">
        <v>33</v>
      </c>
      <c r="B125" s="42"/>
      <c r="C125" s="17">
        <v>416100</v>
      </c>
      <c r="D125" s="34" t="s">
        <v>105</v>
      </c>
      <c r="E125" s="184">
        <v>15000</v>
      </c>
      <c r="F125" s="184">
        <f t="shared" si="19"/>
        <v>0</v>
      </c>
      <c r="G125" s="184">
        <v>15000</v>
      </c>
      <c r="H125" s="207">
        <f t="shared" si="17"/>
        <v>100</v>
      </c>
      <c r="I125" s="288">
        <f t="shared" si="18"/>
        <v>0.06468004356330294</v>
      </c>
      <c r="K125" s="184">
        <v>15000</v>
      </c>
      <c r="L125" s="184">
        <v>15000</v>
      </c>
      <c r="M125" s="511">
        <f t="shared" si="16"/>
        <v>0</v>
      </c>
    </row>
    <row r="126" spans="1:13" ht="12.75" customHeight="1">
      <c r="A126" s="40" t="s">
        <v>33</v>
      </c>
      <c r="B126" s="42"/>
      <c r="C126" s="17">
        <v>416100</v>
      </c>
      <c r="D126" s="34" t="s">
        <v>266</v>
      </c>
      <c r="E126" s="184">
        <v>0</v>
      </c>
      <c r="F126" s="184">
        <f t="shared" si="19"/>
        <v>44725</v>
      </c>
      <c r="G126" s="184">
        <v>44725</v>
      </c>
      <c r="H126" s="207">
        <f t="shared" si="17"/>
        <v>0</v>
      </c>
      <c r="I126" s="288">
        <f t="shared" si="18"/>
        <v>0.19285432989124826</v>
      </c>
      <c r="K126" s="184">
        <v>44724.21</v>
      </c>
      <c r="L126" s="184">
        <v>44724.21</v>
      </c>
      <c r="M126" s="511">
        <f t="shared" si="16"/>
        <v>0.7900000000008731</v>
      </c>
    </row>
    <row r="127" spans="1:13" ht="17.25" customHeight="1">
      <c r="A127" s="40" t="s">
        <v>183</v>
      </c>
      <c r="B127" s="42"/>
      <c r="C127" s="17">
        <v>416100</v>
      </c>
      <c r="D127" s="43" t="s">
        <v>198</v>
      </c>
      <c r="E127" s="196">
        <v>20000</v>
      </c>
      <c r="F127" s="196">
        <f t="shared" si="19"/>
        <v>10000</v>
      </c>
      <c r="G127" s="270">
        <v>30000</v>
      </c>
      <c r="H127" s="207">
        <f t="shared" si="17"/>
        <v>150</v>
      </c>
      <c r="I127" s="288">
        <f t="shared" si="18"/>
        <v>0.12936008712660588</v>
      </c>
      <c r="K127" s="196">
        <v>33300</v>
      </c>
      <c r="L127" s="196">
        <v>20000</v>
      </c>
      <c r="M127" s="511">
        <f t="shared" si="16"/>
        <v>10000</v>
      </c>
    </row>
    <row r="128" spans="1:13" ht="24" customHeight="1">
      <c r="A128" s="40" t="s">
        <v>183</v>
      </c>
      <c r="B128" s="42"/>
      <c r="C128" s="17">
        <v>416100</v>
      </c>
      <c r="D128" s="43" t="s">
        <v>295</v>
      </c>
      <c r="E128" s="70">
        <v>15000</v>
      </c>
      <c r="F128" s="196">
        <f t="shared" si="19"/>
        <v>0</v>
      </c>
      <c r="G128" s="196">
        <v>15000</v>
      </c>
      <c r="H128" s="207">
        <f t="shared" si="17"/>
        <v>100</v>
      </c>
      <c r="I128" s="288">
        <f t="shared" si="18"/>
        <v>0.06468004356330294</v>
      </c>
      <c r="K128" s="196">
        <v>15000</v>
      </c>
      <c r="L128" s="196">
        <v>15000</v>
      </c>
      <c r="M128" s="511">
        <f t="shared" si="16"/>
        <v>0</v>
      </c>
    </row>
    <row r="129" spans="1:13" ht="14.25" customHeight="1">
      <c r="A129" s="285" t="s">
        <v>521</v>
      </c>
      <c r="B129" s="42"/>
      <c r="C129" s="17">
        <v>416100</v>
      </c>
      <c r="D129" s="43" t="s">
        <v>520</v>
      </c>
      <c r="E129" s="70">
        <v>40000</v>
      </c>
      <c r="F129" s="196">
        <f t="shared" si="19"/>
        <v>-40000</v>
      </c>
      <c r="G129" s="196">
        <v>0</v>
      </c>
      <c r="H129" s="207">
        <f t="shared" si="17"/>
        <v>0</v>
      </c>
      <c r="I129" s="288">
        <f t="shared" si="18"/>
        <v>0</v>
      </c>
      <c r="K129" s="196">
        <v>0</v>
      </c>
      <c r="L129" s="196">
        <v>10150</v>
      </c>
      <c r="M129" s="511">
        <f t="shared" si="16"/>
        <v>-10150</v>
      </c>
    </row>
    <row r="130" spans="1:13" ht="15" customHeight="1">
      <c r="A130" s="285"/>
      <c r="B130" s="76">
        <v>487000</v>
      </c>
      <c r="C130" s="17"/>
      <c r="D130" s="151" t="s">
        <v>426</v>
      </c>
      <c r="E130" s="65">
        <f>SUM(E131:E133)</f>
        <v>18000</v>
      </c>
      <c r="F130" s="65">
        <f>SUM(F131:F133)</f>
        <v>6515</v>
      </c>
      <c r="G130" s="65">
        <f>SUM(G131:G133)</f>
        <v>24515</v>
      </c>
      <c r="H130" s="187">
        <f t="shared" si="17"/>
        <v>136.19444444444443</v>
      </c>
      <c r="I130" s="314">
        <f t="shared" si="18"/>
        <v>0.1057087511969581</v>
      </c>
      <c r="K130" s="65">
        <f>SUM(K131:K133)</f>
        <v>24515</v>
      </c>
      <c r="L130" s="65">
        <f>SUM(L131:L133)</f>
        <v>24515</v>
      </c>
      <c r="M130" s="511">
        <f t="shared" si="16"/>
        <v>0</v>
      </c>
    </row>
    <row r="131" spans="1:13" ht="13.5" customHeight="1">
      <c r="A131" s="285" t="s">
        <v>31</v>
      </c>
      <c r="B131" s="76"/>
      <c r="C131" s="17">
        <v>487900</v>
      </c>
      <c r="D131" s="49" t="s">
        <v>169</v>
      </c>
      <c r="E131" s="184">
        <v>8000</v>
      </c>
      <c r="F131" s="184">
        <f t="shared" si="19"/>
        <v>5440</v>
      </c>
      <c r="G131" s="184">
        <v>13440</v>
      </c>
      <c r="H131" s="207">
        <f t="shared" si="17"/>
        <v>168</v>
      </c>
      <c r="I131" s="288">
        <f t="shared" si="18"/>
        <v>0.057953319032719434</v>
      </c>
      <c r="K131" s="184">
        <v>13440</v>
      </c>
      <c r="L131" s="184">
        <v>13440</v>
      </c>
      <c r="M131" s="511">
        <f t="shared" si="16"/>
        <v>0</v>
      </c>
    </row>
    <row r="132" spans="1:13" ht="13.5" customHeight="1">
      <c r="A132" s="40" t="s">
        <v>31</v>
      </c>
      <c r="B132" s="42"/>
      <c r="C132" s="17">
        <v>487900</v>
      </c>
      <c r="D132" s="63" t="s">
        <v>271</v>
      </c>
      <c r="E132" s="184">
        <v>0</v>
      </c>
      <c r="F132" s="184">
        <f t="shared" si="19"/>
        <v>1080</v>
      </c>
      <c r="G132" s="184">
        <v>1080</v>
      </c>
      <c r="H132" s="207">
        <f t="shared" si="17"/>
        <v>0</v>
      </c>
      <c r="I132" s="288">
        <f t="shared" si="18"/>
        <v>0.004656963136557812</v>
      </c>
      <c r="K132" s="184">
        <v>1080</v>
      </c>
      <c r="L132" s="184">
        <v>1080</v>
      </c>
      <c r="M132" s="511">
        <f t="shared" si="16"/>
        <v>0</v>
      </c>
    </row>
    <row r="133" spans="1:13" ht="12.75" customHeight="1">
      <c r="A133" s="137" t="s">
        <v>31</v>
      </c>
      <c r="B133" s="33"/>
      <c r="C133" s="62">
        <v>487900</v>
      </c>
      <c r="D133" s="49" t="s">
        <v>332</v>
      </c>
      <c r="E133" s="184">
        <v>10000</v>
      </c>
      <c r="F133" s="184">
        <f t="shared" si="19"/>
        <v>-5</v>
      </c>
      <c r="G133" s="184">
        <v>9995</v>
      </c>
      <c r="H133" s="207">
        <f t="shared" si="17"/>
        <v>99.95</v>
      </c>
      <c r="I133" s="288">
        <f t="shared" si="18"/>
        <v>0.043098469027680865</v>
      </c>
      <c r="K133" s="184">
        <v>9995</v>
      </c>
      <c r="L133" s="184">
        <v>9995</v>
      </c>
      <c r="M133" s="511">
        <f t="shared" si="16"/>
        <v>0</v>
      </c>
    </row>
    <row r="134" spans="1:13" ht="30" customHeight="1">
      <c r="A134" s="548"/>
      <c r="B134" s="549"/>
      <c r="C134" s="550" t="s">
        <v>239</v>
      </c>
      <c r="D134" s="551"/>
      <c r="E134" s="347">
        <f>E87+E90+E121+E130</f>
        <v>1173400</v>
      </c>
      <c r="F134" s="347">
        <f>F87+F90+F121+F130</f>
        <v>162109</v>
      </c>
      <c r="G134" s="347">
        <f>G87+G90+G121+G130</f>
        <v>1335509</v>
      </c>
      <c r="H134" s="348">
        <f t="shared" si="17"/>
        <v>113.81532299301176</v>
      </c>
      <c r="I134" s="354">
        <f t="shared" si="18"/>
        <v>5.75871868661221</v>
      </c>
      <c r="K134" s="347">
        <f>K87+K90+K121+K130</f>
        <v>1338808.21</v>
      </c>
      <c r="L134" s="347">
        <f>L87+L90+L121+L130</f>
        <v>1305858.21</v>
      </c>
      <c r="M134" s="511">
        <f t="shared" si="16"/>
        <v>29650.790000000037</v>
      </c>
    </row>
    <row r="135" spans="1:13" ht="9.75" customHeight="1">
      <c r="A135" s="548"/>
      <c r="B135" s="549"/>
      <c r="C135" s="560" t="s">
        <v>123</v>
      </c>
      <c r="D135" s="582"/>
      <c r="E135" s="175"/>
      <c r="F135" s="175"/>
      <c r="G135" s="175"/>
      <c r="H135" s="175"/>
      <c r="I135" s="372"/>
      <c r="K135" s="175"/>
      <c r="L135" s="175"/>
      <c r="M135" s="511">
        <f t="shared" si="16"/>
        <v>0</v>
      </c>
    </row>
    <row r="136" spans="1:13" ht="9.75" customHeight="1">
      <c r="A136" s="548"/>
      <c r="B136" s="549"/>
      <c r="C136" s="560"/>
      <c r="D136" s="582"/>
      <c r="E136" s="176"/>
      <c r="F136" s="515"/>
      <c r="G136" s="176"/>
      <c r="H136" s="176"/>
      <c r="I136" s="373"/>
      <c r="K136" s="176"/>
      <c r="L136" s="176"/>
      <c r="M136" s="511">
        <f t="shared" si="16"/>
        <v>0</v>
      </c>
    </row>
    <row r="137" spans="1:13" ht="17.25" customHeight="1">
      <c r="A137" s="548"/>
      <c r="B137" s="549"/>
      <c r="C137" s="560"/>
      <c r="D137" s="582"/>
      <c r="E137" s="177"/>
      <c r="F137" s="177"/>
      <c r="G137" s="177"/>
      <c r="H137" s="177"/>
      <c r="I137" s="374"/>
      <c r="K137" s="177"/>
      <c r="L137" s="177"/>
      <c r="M137" s="511">
        <f t="shared" si="16"/>
        <v>0</v>
      </c>
    </row>
    <row r="138" spans="1:13" ht="14.25" customHeight="1">
      <c r="A138" s="137"/>
      <c r="B138" s="23">
        <v>412000</v>
      </c>
      <c r="C138" s="31"/>
      <c r="D138" s="32" t="s">
        <v>142</v>
      </c>
      <c r="E138" s="357">
        <f>SUM(E139:E142)</f>
        <v>90400</v>
      </c>
      <c r="F138" s="357">
        <f>SUM(F139:F142)</f>
        <v>-16500</v>
      </c>
      <c r="G138" s="357">
        <f>SUM(G139:G142)</f>
        <v>73900</v>
      </c>
      <c r="H138" s="357">
        <f aca="true" t="shared" si="20" ref="H138:H143">IF(E138&gt;0,G138/E138*100,0)</f>
        <v>81.74778761061947</v>
      </c>
      <c r="I138" s="356">
        <f aca="true" t="shared" si="21" ref="I138:I143">G138/$G$502*100</f>
        <v>0.31865701462187246</v>
      </c>
      <c r="K138" s="357">
        <f>SUM(K139:K142)</f>
        <v>73900</v>
      </c>
      <c r="L138" s="357">
        <f>SUM(L139:L142)</f>
        <v>88900</v>
      </c>
      <c r="M138" s="511">
        <f aca="true" t="shared" si="22" ref="M138:M204">G138-L138</f>
        <v>-15000</v>
      </c>
    </row>
    <row r="139" spans="1:13" ht="24.75" customHeight="1">
      <c r="A139" s="137" t="s">
        <v>39</v>
      </c>
      <c r="B139" s="23"/>
      <c r="C139" s="17">
        <v>412700</v>
      </c>
      <c r="D139" s="30" t="s">
        <v>190</v>
      </c>
      <c r="E139" s="196">
        <v>20000</v>
      </c>
      <c r="F139" s="196">
        <f>G139-E139</f>
        <v>-1000</v>
      </c>
      <c r="G139" s="196">
        <v>19000</v>
      </c>
      <c r="H139" s="207">
        <f t="shared" si="20"/>
        <v>95</v>
      </c>
      <c r="I139" s="288">
        <f t="shared" si="21"/>
        <v>0.08192805518018373</v>
      </c>
      <c r="K139" s="196">
        <v>19000</v>
      </c>
      <c r="L139" s="196">
        <v>19000</v>
      </c>
      <c r="M139" s="511">
        <f t="shared" si="22"/>
        <v>0</v>
      </c>
    </row>
    <row r="140" spans="1:13" ht="25.5" customHeight="1">
      <c r="A140" s="137" t="s">
        <v>39</v>
      </c>
      <c r="B140" s="23"/>
      <c r="C140" s="17">
        <v>412700</v>
      </c>
      <c r="D140" s="30" t="s">
        <v>107</v>
      </c>
      <c r="E140" s="196">
        <v>50000</v>
      </c>
      <c r="F140" s="196">
        <f>G140-E140</f>
        <v>-35000</v>
      </c>
      <c r="G140" s="196">
        <v>15000</v>
      </c>
      <c r="H140" s="207">
        <f t="shared" si="20"/>
        <v>30</v>
      </c>
      <c r="I140" s="288">
        <f t="shared" si="21"/>
        <v>0.06468004356330294</v>
      </c>
      <c r="K140" s="196">
        <v>15000</v>
      </c>
      <c r="L140" s="196">
        <v>30000</v>
      </c>
      <c r="M140" s="511">
        <f t="shared" si="22"/>
        <v>-15000</v>
      </c>
    </row>
    <row r="141" spans="1:13" ht="12.75">
      <c r="A141" s="137" t="s">
        <v>27</v>
      </c>
      <c r="B141" s="33"/>
      <c r="C141" s="17">
        <v>412900</v>
      </c>
      <c r="D141" s="30" t="s">
        <v>28</v>
      </c>
      <c r="E141" s="196">
        <v>400</v>
      </c>
      <c r="F141" s="196">
        <f>G141-E141</f>
        <v>0</v>
      </c>
      <c r="G141" s="196">
        <v>400</v>
      </c>
      <c r="H141" s="207">
        <f t="shared" si="20"/>
        <v>100</v>
      </c>
      <c r="I141" s="288">
        <f t="shared" si="21"/>
        <v>0.0017248011616880785</v>
      </c>
      <c r="K141" s="196">
        <v>400</v>
      </c>
      <c r="L141" s="196">
        <v>400</v>
      </c>
      <c r="M141" s="511">
        <f t="shared" si="22"/>
        <v>0</v>
      </c>
    </row>
    <row r="142" spans="1:13" ht="24" customHeight="1">
      <c r="A142" s="137" t="s">
        <v>27</v>
      </c>
      <c r="B142" s="33"/>
      <c r="C142" s="17">
        <v>412900</v>
      </c>
      <c r="D142" s="30" t="s">
        <v>106</v>
      </c>
      <c r="E142" s="196">
        <v>20000</v>
      </c>
      <c r="F142" s="196">
        <f>G142-E142</f>
        <v>19500</v>
      </c>
      <c r="G142" s="196">
        <v>39500</v>
      </c>
      <c r="H142" s="207">
        <f t="shared" si="20"/>
        <v>197.5</v>
      </c>
      <c r="I142" s="288">
        <f t="shared" si="21"/>
        <v>0.17032411471669776</v>
      </c>
      <c r="K142" s="196">
        <v>39500</v>
      </c>
      <c r="L142" s="196">
        <v>39500</v>
      </c>
      <c r="M142" s="511">
        <f t="shared" si="22"/>
        <v>0</v>
      </c>
    </row>
    <row r="143" spans="1:13" ht="30" customHeight="1">
      <c r="A143" s="548"/>
      <c r="B143" s="549"/>
      <c r="C143" s="550" t="s">
        <v>245</v>
      </c>
      <c r="D143" s="551"/>
      <c r="E143" s="347">
        <f>E138</f>
        <v>90400</v>
      </c>
      <c r="F143" s="347">
        <f>F138</f>
        <v>-16500</v>
      </c>
      <c r="G143" s="347">
        <f>G138</f>
        <v>73900</v>
      </c>
      <c r="H143" s="348">
        <f t="shared" si="20"/>
        <v>81.74778761061947</v>
      </c>
      <c r="I143" s="354">
        <f t="shared" si="21"/>
        <v>0.31865701462187246</v>
      </c>
      <c r="K143" s="347">
        <f>K138</f>
        <v>73900</v>
      </c>
      <c r="L143" s="347">
        <f>L138</f>
        <v>88900</v>
      </c>
      <c r="M143" s="511">
        <f t="shared" si="22"/>
        <v>-15000</v>
      </c>
    </row>
    <row r="144" spans="1:13" ht="9.75" customHeight="1">
      <c r="A144" s="548"/>
      <c r="B144" s="549"/>
      <c r="C144" s="560" t="s">
        <v>124</v>
      </c>
      <c r="D144" s="582"/>
      <c r="E144" s="175"/>
      <c r="F144" s="175"/>
      <c r="G144" s="175"/>
      <c r="H144" s="175"/>
      <c r="I144" s="372"/>
      <c r="K144" s="175"/>
      <c r="L144" s="175"/>
      <c r="M144" s="511">
        <f t="shared" si="22"/>
        <v>0</v>
      </c>
    </row>
    <row r="145" spans="1:13" ht="9.75" customHeight="1">
      <c r="A145" s="548"/>
      <c r="B145" s="549"/>
      <c r="C145" s="560"/>
      <c r="D145" s="582"/>
      <c r="E145" s="176"/>
      <c r="F145" s="176"/>
      <c r="G145" s="176"/>
      <c r="H145" s="176"/>
      <c r="I145" s="373"/>
      <c r="K145" s="176"/>
      <c r="L145" s="176"/>
      <c r="M145" s="511">
        <f t="shared" si="22"/>
        <v>0</v>
      </c>
    </row>
    <row r="146" spans="1:13" ht="9.75" customHeight="1">
      <c r="A146" s="548"/>
      <c r="B146" s="549"/>
      <c r="C146" s="560"/>
      <c r="D146" s="582"/>
      <c r="E146" s="176"/>
      <c r="F146" s="176"/>
      <c r="G146" s="176"/>
      <c r="H146" s="176"/>
      <c r="I146" s="373"/>
      <c r="K146" s="176"/>
      <c r="L146" s="176"/>
      <c r="M146" s="511">
        <f t="shared" si="22"/>
        <v>0</v>
      </c>
    </row>
    <row r="147" spans="1:13" ht="19.5" customHeight="1">
      <c r="A147" s="548"/>
      <c r="B147" s="549"/>
      <c r="C147" s="560"/>
      <c r="D147" s="582"/>
      <c r="E147" s="177"/>
      <c r="F147" s="177"/>
      <c r="G147" s="177"/>
      <c r="H147" s="177"/>
      <c r="I147" s="374"/>
      <c r="K147" s="177"/>
      <c r="L147" s="177"/>
      <c r="M147" s="511">
        <f t="shared" si="22"/>
        <v>0</v>
      </c>
    </row>
    <row r="148" spans="1:13" ht="14.25" customHeight="1">
      <c r="A148" s="137"/>
      <c r="B148" s="23">
        <v>412000</v>
      </c>
      <c r="C148" s="36"/>
      <c r="D148" s="32" t="s">
        <v>142</v>
      </c>
      <c r="E148" s="357">
        <f>SUM(E149:E153)</f>
        <v>114600</v>
      </c>
      <c r="F148" s="357">
        <f>SUM(F149:F153)</f>
        <v>-4000</v>
      </c>
      <c r="G148" s="357">
        <f>SUM(G149:G153)</f>
        <v>110600</v>
      </c>
      <c r="H148" s="357">
        <f aca="true" t="shared" si="23" ref="H148:H190">IF(E148&gt;0,G148/E148*100,0)</f>
        <v>96.50959860383944</v>
      </c>
      <c r="I148" s="356">
        <f aca="true" t="shared" si="24" ref="I148:I190">G148/$G$502*100</f>
        <v>0.47690752120675367</v>
      </c>
      <c r="K148" s="357">
        <f>SUM(K149:K153)</f>
        <v>110600</v>
      </c>
      <c r="L148" s="357">
        <f>SUM(L149:L153)</f>
        <v>104600</v>
      </c>
      <c r="M148" s="511">
        <f t="shared" si="22"/>
        <v>6000</v>
      </c>
    </row>
    <row r="149" spans="1:13" ht="14.25" customHeight="1">
      <c r="A149" s="137" t="s">
        <v>27</v>
      </c>
      <c r="B149" s="23"/>
      <c r="C149" s="17">
        <v>412100</v>
      </c>
      <c r="D149" s="30" t="s">
        <v>273</v>
      </c>
      <c r="E149" s="184">
        <v>30000</v>
      </c>
      <c r="F149" s="184">
        <f aca="true" t="shared" si="25" ref="F149:F189">G149-E149</f>
        <v>0</v>
      </c>
      <c r="G149" s="184">
        <v>30000</v>
      </c>
      <c r="H149" s="207">
        <f t="shared" si="23"/>
        <v>100</v>
      </c>
      <c r="I149" s="288">
        <f t="shared" si="24"/>
        <v>0.12936008712660588</v>
      </c>
      <c r="K149" s="184">
        <v>30000</v>
      </c>
      <c r="L149" s="184">
        <v>30000</v>
      </c>
      <c r="M149" s="511">
        <f t="shared" si="22"/>
        <v>0</v>
      </c>
    </row>
    <row r="150" spans="1:13" ht="14.25" customHeight="1">
      <c r="A150" s="137" t="s">
        <v>27</v>
      </c>
      <c r="B150" s="23"/>
      <c r="C150" s="17">
        <v>412200</v>
      </c>
      <c r="D150" s="30" t="s">
        <v>274</v>
      </c>
      <c r="E150" s="184">
        <v>12000</v>
      </c>
      <c r="F150" s="184">
        <f t="shared" si="25"/>
        <v>0</v>
      </c>
      <c r="G150" s="184">
        <v>12000</v>
      </c>
      <c r="H150" s="207">
        <f t="shared" si="23"/>
        <v>100</v>
      </c>
      <c r="I150" s="288">
        <f t="shared" si="24"/>
        <v>0.051744034850642356</v>
      </c>
      <c r="K150" s="184">
        <v>12000</v>
      </c>
      <c r="L150" s="184">
        <v>12000</v>
      </c>
      <c r="M150" s="511">
        <f t="shared" si="22"/>
        <v>0</v>
      </c>
    </row>
    <row r="151" spans="1:13" ht="12.75" customHeight="1">
      <c r="A151" s="40" t="s">
        <v>27</v>
      </c>
      <c r="B151" s="33"/>
      <c r="C151" s="47">
        <v>412700</v>
      </c>
      <c r="D151" s="34" t="s">
        <v>191</v>
      </c>
      <c r="E151" s="184">
        <v>7000</v>
      </c>
      <c r="F151" s="184">
        <f t="shared" si="25"/>
        <v>4000</v>
      </c>
      <c r="G151" s="184">
        <v>11000</v>
      </c>
      <c r="H151" s="207">
        <f t="shared" si="23"/>
        <v>157.14285714285714</v>
      </c>
      <c r="I151" s="288">
        <f t="shared" si="24"/>
        <v>0.047432031946422155</v>
      </c>
      <c r="K151" s="184">
        <v>11000</v>
      </c>
      <c r="L151" s="184">
        <v>7000</v>
      </c>
      <c r="M151" s="511">
        <f t="shared" si="22"/>
        <v>4000</v>
      </c>
    </row>
    <row r="152" spans="1:13" ht="23.25" customHeight="1">
      <c r="A152" s="137" t="s">
        <v>27</v>
      </c>
      <c r="B152" s="33"/>
      <c r="C152" s="17">
        <v>412900</v>
      </c>
      <c r="D152" s="30" t="s">
        <v>275</v>
      </c>
      <c r="E152" s="184">
        <v>65000</v>
      </c>
      <c r="F152" s="184">
        <f t="shared" si="25"/>
        <v>-8000</v>
      </c>
      <c r="G152" s="184">
        <v>57000</v>
      </c>
      <c r="H152" s="207">
        <f t="shared" si="23"/>
        <v>87.6923076923077</v>
      </c>
      <c r="I152" s="288">
        <f t="shared" si="24"/>
        <v>0.24578416554055116</v>
      </c>
      <c r="J152" s="467"/>
      <c r="K152" s="184">
        <v>57000</v>
      </c>
      <c r="L152" s="184">
        <v>55000</v>
      </c>
      <c r="M152" s="511">
        <f t="shared" si="22"/>
        <v>2000</v>
      </c>
    </row>
    <row r="153" spans="1:13" ht="12.75" customHeight="1">
      <c r="A153" s="137" t="s">
        <v>27</v>
      </c>
      <c r="B153" s="33"/>
      <c r="C153" s="17">
        <v>412900</v>
      </c>
      <c r="D153" s="30" t="s">
        <v>0</v>
      </c>
      <c r="E153" s="196">
        <v>600</v>
      </c>
      <c r="F153" s="196">
        <f t="shared" si="25"/>
        <v>0</v>
      </c>
      <c r="G153" s="196">
        <v>600</v>
      </c>
      <c r="H153" s="207">
        <f t="shared" si="23"/>
        <v>100</v>
      </c>
      <c r="I153" s="288">
        <f t="shared" si="24"/>
        <v>0.0025872017425321177</v>
      </c>
      <c r="K153" s="196">
        <v>600</v>
      </c>
      <c r="L153" s="196">
        <v>600</v>
      </c>
      <c r="M153" s="511">
        <f t="shared" si="22"/>
        <v>0</v>
      </c>
    </row>
    <row r="154" spans="1:13" ht="15" customHeight="1">
      <c r="A154" s="137"/>
      <c r="B154" s="23"/>
      <c r="C154" s="17"/>
      <c r="D154" s="32" t="s">
        <v>212</v>
      </c>
      <c r="E154" s="187">
        <f>SUM(E155:E163)</f>
        <v>560000</v>
      </c>
      <c r="F154" s="187">
        <f>SUM(F155:F163)</f>
        <v>191000</v>
      </c>
      <c r="G154" s="187">
        <f>SUM(G155:G163)</f>
        <v>751000</v>
      </c>
      <c r="H154" s="187">
        <f t="shared" si="23"/>
        <v>134.10714285714283</v>
      </c>
      <c r="I154" s="314">
        <f t="shared" si="24"/>
        <v>3.238314181069367</v>
      </c>
      <c r="K154" s="187">
        <f>SUM(K155:K163)</f>
        <v>751000</v>
      </c>
      <c r="L154" s="187">
        <f>SUM(L155:L163)</f>
        <v>698000</v>
      </c>
      <c r="M154" s="511">
        <f t="shared" si="22"/>
        <v>53000</v>
      </c>
    </row>
    <row r="155" spans="1:13" ht="69.75" customHeight="1">
      <c r="A155" s="40" t="s">
        <v>41</v>
      </c>
      <c r="B155" s="33"/>
      <c r="C155" s="38">
        <v>412800</v>
      </c>
      <c r="D155" s="34" t="s">
        <v>234</v>
      </c>
      <c r="E155" s="196">
        <v>140000</v>
      </c>
      <c r="F155" s="196">
        <f t="shared" si="25"/>
        <v>0</v>
      </c>
      <c r="G155" s="196">
        <v>140000</v>
      </c>
      <c r="H155" s="207">
        <f t="shared" si="23"/>
        <v>100</v>
      </c>
      <c r="I155" s="288">
        <f t="shared" si="24"/>
        <v>0.6036804065908274</v>
      </c>
      <c r="K155" s="196">
        <v>140000</v>
      </c>
      <c r="L155" s="196">
        <v>140000</v>
      </c>
      <c r="M155" s="511">
        <f t="shared" si="22"/>
        <v>0</v>
      </c>
    </row>
    <row r="156" spans="1:13" ht="37.5" customHeight="1">
      <c r="A156" s="40" t="s">
        <v>41</v>
      </c>
      <c r="B156" s="33"/>
      <c r="C156" s="38">
        <v>412800</v>
      </c>
      <c r="D156" s="34" t="s">
        <v>235</v>
      </c>
      <c r="E156" s="184">
        <v>55000</v>
      </c>
      <c r="F156" s="184">
        <f t="shared" si="25"/>
        <v>15000</v>
      </c>
      <c r="G156" s="184">
        <v>70000</v>
      </c>
      <c r="H156" s="207">
        <f t="shared" si="23"/>
        <v>127.27272727272727</v>
      </c>
      <c r="I156" s="288">
        <f t="shared" si="24"/>
        <v>0.3018402032954137</v>
      </c>
      <c r="J156" s="466"/>
      <c r="K156" s="184">
        <v>70000</v>
      </c>
      <c r="L156" s="184">
        <v>65000</v>
      </c>
      <c r="M156" s="511">
        <f t="shared" si="22"/>
        <v>5000</v>
      </c>
    </row>
    <row r="157" spans="1:13" ht="15" customHeight="1">
      <c r="A157" s="40" t="s">
        <v>41</v>
      </c>
      <c r="B157" s="33"/>
      <c r="C157" s="38">
        <v>412800</v>
      </c>
      <c r="D157" s="34" t="s">
        <v>108</v>
      </c>
      <c r="E157" s="196">
        <v>160000</v>
      </c>
      <c r="F157" s="196">
        <f t="shared" si="25"/>
        <v>120000</v>
      </c>
      <c r="G157" s="196">
        <v>280000</v>
      </c>
      <c r="H157" s="207">
        <f t="shared" si="23"/>
        <v>175</v>
      </c>
      <c r="I157" s="288">
        <f t="shared" si="24"/>
        <v>1.207360813181655</v>
      </c>
      <c r="K157" s="196">
        <v>280000</v>
      </c>
      <c r="L157" s="196">
        <v>280000</v>
      </c>
      <c r="M157" s="511">
        <f t="shared" si="22"/>
        <v>0</v>
      </c>
    </row>
    <row r="158" spans="1:13" ht="24.75" customHeight="1">
      <c r="A158" s="40" t="s">
        <v>41</v>
      </c>
      <c r="B158" s="33"/>
      <c r="C158" s="38">
        <v>412800</v>
      </c>
      <c r="D158" s="34" t="s">
        <v>599</v>
      </c>
      <c r="E158" s="196">
        <v>140000</v>
      </c>
      <c r="F158" s="196">
        <f t="shared" si="25"/>
        <v>50000</v>
      </c>
      <c r="G158" s="196">
        <v>190000</v>
      </c>
      <c r="H158" s="207">
        <f t="shared" si="23"/>
        <v>135.71428571428572</v>
      </c>
      <c r="I158" s="288">
        <f t="shared" si="24"/>
        <v>0.8192805518018372</v>
      </c>
      <c r="K158" s="196">
        <v>190000</v>
      </c>
      <c r="L158" s="196">
        <v>140000</v>
      </c>
      <c r="M158" s="511">
        <f t="shared" si="22"/>
        <v>50000</v>
      </c>
    </row>
    <row r="159" spans="1:13" ht="24.75" customHeight="1">
      <c r="A159" s="40" t="s">
        <v>41</v>
      </c>
      <c r="B159" s="33"/>
      <c r="C159" s="38">
        <v>412800</v>
      </c>
      <c r="D159" s="34" t="s">
        <v>600</v>
      </c>
      <c r="E159" s="184">
        <v>25000</v>
      </c>
      <c r="F159" s="184">
        <f t="shared" si="25"/>
        <v>10000</v>
      </c>
      <c r="G159" s="184">
        <v>35000</v>
      </c>
      <c r="H159" s="207">
        <f t="shared" si="23"/>
        <v>140</v>
      </c>
      <c r="I159" s="288">
        <f t="shared" si="24"/>
        <v>0.15092010164770686</v>
      </c>
      <c r="K159" s="184">
        <v>35000</v>
      </c>
      <c r="L159" s="184">
        <v>33000</v>
      </c>
      <c r="M159" s="511">
        <f t="shared" si="22"/>
        <v>2000</v>
      </c>
    </row>
    <row r="160" spans="1:13" ht="12.75">
      <c r="A160" s="40" t="s">
        <v>41</v>
      </c>
      <c r="B160" s="33"/>
      <c r="C160" s="33">
        <v>412800</v>
      </c>
      <c r="D160" s="44" t="s">
        <v>204</v>
      </c>
      <c r="E160" s="184">
        <v>5000</v>
      </c>
      <c r="F160" s="184">
        <f t="shared" si="25"/>
        <v>0</v>
      </c>
      <c r="G160" s="184">
        <v>5000</v>
      </c>
      <c r="H160" s="207">
        <f t="shared" si="23"/>
        <v>100</v>
      </c>
      <c r="I160" s="288">
        <f t="shared" si="24"/>
        <v>0.02156001452110098</v>
      </c>
      <c r="K160" s="184">
        <v>5000</v>
      </c>
      <c r="L160" s="184">
        <v>5000</v>
      </c>
      <c r="M160" s="511">
        <f t="shared" si="22"/>
        <v>0</v>
      </c>
    </row>
    <row r="161" spans="1:13" ht="12.75">
      <c r="A161" s="40" t="s">
        <v>41</v>
      </c>
      <c r="B161" s="33"/>
      <c r="C161" s="38">
        <v>412800</v>
      </c>
      <c r="D161" s="34" t="s">
        <v>42</v>
      </c>
      <c r="E161" s="184">
        <v>20000</v>
      </c>
      <c r="F161" s="184">
        <f t="shared" si="25"/>
        <v>-4000</v>
      </c>
      <c r="G161" s="184">
        <v>16000</v>
      </c>
      <c r="H161" s="207">
        <f t="shared" si="23"/>
        <v>80</v>
      </c>
      <c r="I161" s="288">
        <f t="shared" si="24"/>
        <v>0.06899204646752313</v>
      </c>
      <c r="K161" s="184">
        <v>16000</v>
      </c>
      <c r="L161" s="184">
        <v>20000</v>
      </c>
      <c r="M161" s="511">
        <f t="shared" si="22"/>
        <v>-4000</v>
      </c>
    </row>
    <row r="162" spans="1:13" ht="12.75" hidden="1">
      <c r="A162" s="40" t="s">
        <v>41</v>
      </c>
      <c r="B162" s="33"/>
      <c r="C162" s="38">
        <v>412800</v>
      </c>
      <c r="D162" s="34" t="s">
        <v>352</v>
      </c>
      <c r="E162" s="184"/>
      <c r="F162" s="184">
        <f t="shared" si="25"/>
        <v>0</v>
      </c>
      <c r="G162" s="184"/>
      <c r="H162" s="207">
        <f t="shared" si="23"/>
        <v>0</v>
      </c>
      <c r="I162" s="288">
        <f t="shared" si="24"/>
        <v>0</v>
      </c>
      <c r="K162" s="184"/>
      <c r="L162" s="184"/>
      <c r="M162" s="511">
        <f t="shared" si="22"/>
        <v>0</v>
      </c>
    </row>
    <row r="163" spans="1:13" ht="25.5" customHeight="1">
      <c r="A163" s="40" t="s">
        <v>41</v>
      </c>
      <c r="B163" s="33"/>
      <c r="C163" s="38">
        <v>412900</v>
      </c>
      <c r="D163" s="34" t="s">
        <v>137</v>
      </c>
      <c r="E163" s="184">
        <v>15000</v>
      </c>
      <c r="F163" s="184">
        <f t="shared" si="25"/>
        <v>0</v>
      </c>
      <c r="G163" s="184">
        <v>15000</v>
      </c>
      <c r="H163" s="207">
        <f t="shared" si="23"/>
        <v>100</v>
      </c>
      <c r="I163" s="288">
        <f t="shared" si="24"/>
        <v>0.06468004356330294</v>
      </c>
      <c r="K163" s="184">
        <v>15000</v>
      </c>
      <c r="L163" s="184">
        <v>15000</v>
      </c>
      <c r="M163" s="511">
        <f t="shared" si="22"/>
        <v>0</v>
      </c>
    </row>
    <row r="164" spans="1:13" ht="16.5" customHeight="1">
      <c r="A164" s="137"/>
      <c r="B164" s="33"/>
      <c r="C164" s="45"/>
      <c r="D164" s="46" t="s">
        <v>43</v>
      </c>
      <c r="E164" s="187">
        <f>SUM(E165:E170)</f>
        <v>282000</v>
      </c>
      <c r="F164" s="187">
        <f>SUM(F165:F170)</f>
        <v>-58200</v>
      </c>
      <c r="G164" s="187">
        <f>SUM(G165:G170)</f>
        <v>223800</v>
      </c>
      <c r="H164" s="187">
        <f t="shared" si="23"/>
        <v>79.36170212765957</v>
      </c>
      <c r="I164" s="314">
        <f t="shared" si="24"/>
        <v>0.9650262499644799</v>
      </c>
      <c r="K164" s="187">
        <f>SUM(K165:K170)</f>
        <v>223800</v>
      </c>
      <c r="L164" s="187">
        <f>SUM(L165:L170)</f>
        <v>223800</v>
      </c>
      <c r="M164" s="511">
        <f t="shared" si="22"/>
        <v>0</v>
      </c>
    </row>
    <row r="165" spans="1:13" ht="24.75" customHeight="1">
      <c r="A165" s="137" t="s">
        <v>44</v>
      </c>
      <c r="B165" s="33"/>
      <c r="C165" s="38">
        <v>412500</v>
      </c>
      <c r="D165" s="34" t="s">
        <v>519</v>
      </c>
      <c r="E165" s="196">
        <v>150000</v>
      </c>
      <c r="F165" s="196">
        <f t="shared" si="25"/>
        <v>-1700</v>
      </c>
      <c r="G165" s="196">
        <v>148300</v>
      </c>
      <c r="H165" s="207">
        <f t="shared" si="23"/>
        <v>98.86666666666667</v>
      </c>
      <c r="I165" s="288">
        <f t="shared" si="24"/>
        <v>0.6394700306958551</v>
      </c>
      <c r="K165" s="196">
        <v>148300</v>
      </c>
      <c r="L165" s="196">
        <v>150000</v>
      </c>
      <c r="M165" s="511">
        <f t="shared" si="22"/>
        <v>-1700</v>
      </c>
    </row>
    <row r="166" spans="1:13" ht="24" customHeight="1">
      <c r="A166" s="137" t="s">
        <v>44</v>
      </c>
      <c r="B166" s="33"/>
      <c r="C166" s="38">
        <v>412500</v>
      </c>
      <c r="D166" s="34" t="s">
        <v>293</v>
      </c>
      <c r="E166" s="196">
        <v>20000</v>
      </c>
      <c r="F166" s="196">
        <f t="shared" si="25"/>
        <v>-20000</v>
      </c>
      <c r="G166" s="196">
        <v>0</v>
      </c>
      <c r="H166" s="207">
        <f t="shared" si="23"/>
        <v>0</v>
      </c>
      <c r="I166" s="288">
        <f t="shared" si="24"/>
        <v>0</v>
      </c>
      <c r="K166" s="196">
        <v>0</v>
      </c>
      <c r="L166" s="196">
        <v>0</v>
      </c>
      <c r="M166" s="511">
        <f t="shared" si="22"/>
        <v>0</v>
      </c>
    </row>
    <row r="167" spans="1:13" ht="24.75" customHeight="1">
      <c r="A167" s="137" t="s">
        <v>44</v>
      </c>
      <c r="B167" s="33"/>
      <c r="C167" s="38">
        <v>412500</v>
      </c>
      <c r="D167" s="44" t="s">
        <v>195</v>
      </c>
      <c r="E167" s="196">
        <v>10000</v>
      </c>
      <c r="F167" s="196">
        <f t="shared" si="25"/>
        <v>-6500</v>
      </c>
      <c r="G167" s="196">
        <v>3500</v>
      </c>
      <c r="H167" s="207">
        <f t="shared" si="23"/>
        <v>35</v>
      </c>
      <c r="I167" s="288">
        <f t="shared" si="24"/>
        <v>0.015092010164770684</v>
      </c>
      <c r="K167" s="196">
        <v>3500</v>
      </c>
      <c r="L167" s="196">
        <v>1800</v>
      </c>
      <c r="M167" s="511">
        <f t="shared" si="22"/>
        <v>1700</v>
      </c>
    </row>
    <row r="168" spans="1:13" ht="15" customHeight="1">
      <c r="A168" s="137" t="s">
        <v>44</v>
      </c>
      <c r="B168" s="33"/>
      <c r="C168" s="38">
        <v>412500</v>
      </c>
      <c r="D168" s="34" t="s">
        <v>209</v>
      </c>
      <c r="E168" s="184">
        <v>70000</v>
      </c>
      <c r="F168" s="184">
        <f t="shared" si="25"/>
        <v>-30000</v>
      </c>
      <c r="G168" s="184">
        <v>40000</v>
      </c>
      <c r="H168" s="207">
        <f t="shared" si="23"/>
        <v>57.14285714285714</v>
      </c>
      <c r="I168" s="288">
        <f t="shared" si="24"/>
        <v>0.17248011616880785</v>
      </c>
      <c r="K168" s="184">
        <v>40000</v>
      </c>
      <c r="L168" s="184">
        <v>40000</v>
      </c>
      <c r="M168" s="511">
        <f t="shared" si="22"/>
        <v>0</v>
      </c>
    </row>
    <row r="169" spans="1:13" ht="12.75">
      <c r="A169" s="137" t="s">
        <v>44</v>
      </c>
      <c r="B169" s="33"/>
      <c r="C169" s="38">
        <v>412500</v>
      </c>
      <c r="D169" s="34" t="s">
        <v>45</v>
      </c>
      <c r="E169" s="184">
        <v>30000</v>
      </c>
      <c r="F169" s="184">
        <f t="shared" si="25"/>
        <v>0</v>
      </c>
      <c r="G169" s="184">
        <v>30000</v>
      </c>
      <c r="H169" s="207">
        <f t="shared" si="23"/>
        <v>100</v>
      </c>
      <c r="I169" s="288">
        <f t="shared" si="24"/>
        <v>0.12936008712660588</v>
      </c>
      <c r="K169" s="184">
        <v>30000</v>
      </c>
      <c r="L169" s="184">
        <v>30000</v>
      </c>
      <c r="M169" s="511">
        <f t="shared" si="22"/>
        <v>0</v>
      </c>
    </row>
    <row r="170" spans="1:13" ht="12.75">
      <c r="A170" s="137" t="s">
        <v>44</v>
      </c>
      <c r="B170" s="33"/>
      <c r="C170" s="38">
        <v>412500</v>
      </c>
      <c r="D170" s="34" t="s">
        <v>46</v>
      </c>
      <c r="E170" s="184">
        <v>2000</v>
      </c>
      <c r="F170" s="184">
        <f t="shared" si="25"/>
        <v>0</v>
      </c>
      <c r="G170" s="184">
        <v>2000</v>
      </c>
      <c r="H170" s="207">
        <f t="shared" si="23"/>
        <v>100</v>
      </c>
      <c r="I170" s="288">
        <f t="shared" si="24"/>
        <v>0.008624005808440392</v>
      </c>
      <c r="K170" s="184">
        <v>2000</v>
      </c>
      <c r="L170" s="184">
        <v>2000</v>
      </c>
      <c r="M170" s="511">
        <f t="shared" si="22"/>
        <v>0</v>
      </c>
    </row>
    <row r="171" spans="1:13" ht="12.75">
      <c r="A171" s="137"/>
      <c r="B171" s="23">
        <v>415000</v>
      </c>
      <c r="C171" s="38"/>
      <c r="D171" s="46" t="s">
        <v>156</v>
      </c>
      <c r="E171" s="187">
        <f>SUM(E172:E173)</f>
        <v>20000</v>
      </c>
      <c r="F171" s="187">
        <f>SUM(F172:F173)</f>
        <v>-11800</v>
      </c>
      <c r="G171" s="187">
        <f>SUM(G172:G173)</f>
        <v>8200</v>
      </c>
      <c r="H171" s="187">
        <f t="shared" si="23"/>
        <v>41</v>
      </c>
      <c r="I171" s="314">
        <f t="shared" si="24"/>
        <v>0.03535842381460561</v>
      </c>
      <c r="K171" s="187">
        <f>SUM(K172:K173)</f>
        <v>8200</v>
      </c>
      <c r="L171" s="187">
        <f>SUM(L172:L173)</f>
        <v>8200</v>
      </c>
      <c r="M171" s="511">
        <f t="shared" si="22"/>
        <v>0</v>
      </c>
    </row>
    <row r="172" spans="1:13" ht="13.5" customHeight="1">
      <c r="A172" s="137" t="s">
        <v>41</v>
      </c>
      <c r="B172" s="23"/>
      <c r="C172" s="38">
        <v>415200</v>
      </c>
      <c r="D172" s="34" t="s">
        <v>348</v>
      </c>
      <c r="E172" s="196">
        <v>20000</v>
      </c>
      <c r="F172" s="196">
        <f t="shared" si="25"/>
        <v>-20000</v>
      </c>
      <c r="G172" s="196">
        <v>0</v>
      </c>
      <c r="H172" s="207">
        <f t="shared" si="23"/>
        <v>0</v>
      </c>
      <c r="I172" s="288">
        <f t="shared" si="24"/>
        <v>0</v>
      </c>
      <c r="K172" s="196">
        <v>0</v>
      </c>
      <c r="L172" s="196">
        <v>0</v>
      </c>
      <c r="M172" s="511">
        <f t="shared" si="22"/>
        <v>0</v>
      </c>
    </row>
    <row r="173" spans="1:13" ht="15.75" customHeight="1">
      <c r="A173" s="40" t="s">
        <v>41</v>
      </c>
      <c r="B173" s="33"/>
      <c r="C173" s="38">
        <v>415200</v>
      </c>
      <c r="D173" s="34" t="s">
        <v>560</v>
      </c>
      <c r="E173" s="184">
        <v>0</v>
      </c>
      <c r="F173" s="184">
        <f t="shared" si="25"/>
        <v>8200</v>
      </c>
      <c r="G173" s="184">
        <v>8200</v>
      </c>
      <c r="H173" s="207">
        <f t="shared" si="23"/>
        <v>0</v>
      </c>
      <c r="I173" s="288">
        <f t="shared" si="24"/>
        <v>0.03535842381460561</v>
      </c>
      <c r="K173" s="184">
        <v>8200</v>
      </c>
      <c r="L173" s="184">
        <v>8200</v>
      </c>
      <c r="M173" s="511">
        <f t="shared" si="22"/>
        <v>0</v>
      </c>
    </row>
    <row r="174" spans="1:13" ht="15" customHeight="1">
      <c r="A174" s="137"/>
      <c r="B174" s="33"/>
      <c r="C174" s="83"/>
      <c r="D174" s="46" t="s">
        <v>526</v>
      </c>
      <c r="E174" s="187">
        <f>E175+E187</f>
        <v>1822272.02</v>
      </c>
      <c r="F174" s="187">
        <f>F175+F187</f>
        <v>1682447.98</v>
      </c>
      <c r="G174" s="187">
        <f>G175+G187</f>
        <v>3504720</v>
      </c>
      <c r="H174" s="187">
        <f t="shared" si="23"/>
        <v>192.3269392019749</v>
      </c>
      <c r="I174" s="314">
        <f t="shared" si="24"/>
        <v>15.112362818478605</v>
      </c>
      <c r="K174" s="187">
        <f>K175+K187</f>
        <v>3504407.25</v>
      </c>
      <c r="L174" s="187">
        <f>L175+L187</f>
        <v>3494407.25</v>
      </c>
      <c r="M174" s="511">
        <f t="shared" si="22"/>
        <v>10312.75</v>
      </c>
    </row>
    <row r="175" spans="1:15" ht="15" customHeight="1">
      <c r="A175" s="137"/>
      <c r="B175" s="33"/>
      <c r="C175" s="83"/>
      <c r="D175" s="46" t="s">
        <v>370</v>
      </c>
      <c r="E175" s="320">
        <f>SUM(E176:E186)</f>
        <v>355500</v>
      </c>
      <c r="F175" s="320">
        <f>SUM(F176:F186)</f>
        <v>1682447</v>
      </c>
      <c r="G175" s="320">
        <f>SUM(G176:G186)</f>
        <v>2037947</v>
      </c>
      <c r="H175" s="320">
        <f t="shared" si="23"/>
        <v>573.2621659634318</v>
      </c>
      <c r="I175" s="322">
        <f t="shared" si="24"/>
        <v>8.787633382646835</v>
      </c>
      <c r="K175" s="320">
        <f>SUM(K176:K186)</f>
        <v>2037635.23</v>
      </c>
      <c r="L175" s="320">
        <f>SUM(L176:L186)</f>
        <v>2027635.23</v>
      </c>
      <c r="M175" s="511">
        <f t="shared" si="22"/>
        <v>10311.770000000019</v>
      </c>
      <c r="O175" s="6">
        <v>3268742.02</v>
      </c>
    </row>
    <row r="176" spans="1:15" s="60" customFormat="1" ht="13.5" customHeight="1">
      <c r="A176" s="41" t="s">
        <v>31</v>
      </c>
      <c r="B176" s="96"/>
      <c r="C176" s="97">
        <v>511100</v>
      </c>
      <c r="D176" s="95" t="s">
        <v>502</v>
      </c>
      <c r="E176" s="270">
        <v>115000</v>
      </c>
      <c r="F176" s="270">
        <f t="shared" si="25"/>
        <v>0</v>
      </c>
      <c r="G176" s="270">
        <v>115000</v>
      </c>
      <c r="H176" s="207">
        <f t="shared" si="23"/>
        <v>100</v>
      </c>
      <c r="I176" s="288">
        <f t="shared" si="24"/>
        <v>0.49588033398532255</v>
      </c>
      <c r="J176" s="387"/>
      <c r="K176" s="270">
        <v>114797.36</v>
      </c>
      <c r="L176" s="270">
        <v>115000</v>
      </c>
      <c r="M176" s="511">
        <f t="shared" si="22"/>
        <v>0</v>
      </c>
      <c r="O176" s="516">
        <f>L174-O175</f>
        <v>225665.22999999998</v>
      </c>
    </row>
    <row r="177" spans="1:13" s="60" customFormat="1" ht="13.5" customHeight="1">
      <c r="A177" s="435" t="s">
        <v>47</v>
      </c>
      <c r="B177" s="436"/>
      <c r="C177" s="437">
        <v>511100</v>
      </c>
      <c r="D177" s="438" t="s">
        <v>525</v>
      </c>
      <c r="E177" s="469">
        <v>130000</v>
      </c>
      <c r="F177" s="469">
        <f t="shared" si="25"/>
        <v>-115963</v>
      </c>
      <c r="G177" s="469">
        <v>14037</v>
      </c>
      <c r="H177" s="439">
        <f t="shared" si="23"/>
        <v>10.797692307692309</v>
      </c>
      <c r="I177" s="288">
        <f t="shared" si="24"/>
        <v>0.06052758476653889</v>
      </c>
      <c r="J177" s="387"/>
      <c r="K177" s="469">
        <v>14036.49</v>
      </c>
      <c r="L177" s="469">
        <v>130000</v>
      </c>
      <c r="M177" s="511">
        <f t="shared" si="22"/>
        <v>-115963</v>
      </c>
    </row>
    <row r="178" spans="1:15" ht="36.75" customHeight="1">
      <c r="A178" s="435" t="s">
        <v>41</v>
      </c>
      <c r="B178" s="436"/>
      <c r="C178" s="437">
        <v>511200</v>
      </c>
      <c r="D178" s="520" t="s">
        <v>351</v>
      </c>
      <c r="E178" s="521">
        <v>100500</v>
      </c>
      <c r="F178" s="521">
        <f t="shared" si="25"/>
        <v>58800</v>
      </c>
      <c r="G178" s="521">
        <v>159300</v>
      </c>
      <c r="H178" s="439">
        <f t="shared" si="23"/>
        <v>158.50746268656718</v>
      </c>
      <c r="I178" s="440">
        <f t="shared" si="24"/>
        <v>0.6869020626422773</v>
      </c>
      <c r="J178" s="466"/>
      <c r="K178" s="469">
        <v>159226.15</v>
      </c>
      <c r="L178" s="469">
        <v>43060</v>
      </c>
      <c r="M178" s="511">
        <f t="shared" si="22"/>
        <v>116240</v>
      </c>
      <c r="O178" s="511">
        <f>L175-O176</f>
        <v>1801970</v>
      </c>
    </row>
    <row r="179" spans="1:13" ht="24.75" customHeight="1">
      <c r="A179" s="435" t="s">
        <v>41</v>
      </c>
      <c r="B179" s="436"/>
      <c r="C179" s="437">
        <v>511200</v>
      </c>
      <c r="D179" s="438" t="s">
        <v>588</v>
      </c>
      <c r="E179" s="469">
        <v>0</v>
      </c>
      <c r="F179" s="469">
        <f t="shared" si="25"/>
        <v>97700</v>
      </c>
      <c r="G179" s="469">
        <v>97700</v>
      </c>
      <c r="H179" s="439">
        <f t="shared" si="23"/>
        <v>0</v>
      </c>
      <c r="I179" s="440">
        <f t="shared" si="24"/>
        <v>0.4212826837423132</v>
      </c>
      <c r="J179" s="466"/>
      <c r="K179" s="469">
        <v>97700</v>
      </c>
      <c r="L179" s="469">
        <v>97700</v>
      </c>
      <c r="M179" s="511"/>
    </row>
    <row r="180" spans="1:13" ht="25.5" customHeight="1">
      <c r="A180" s="435" t="s">
        <v>41</v>
      </c>
      <c r="B180" s="436"/>
      <c r="C180" s="437">
        <v>511200</v>
      </c>
      <c r="D180" s="438" t="s">
        <v>590</v>
      </c>
      <c r="E180" s="469">
        <v>0</v>
      </c>
      <c r="F180" s="469">
        <f t="shared" si="25"/>
        <v>500000</v>
      </c>
      <c r="G180" s="469">
        <v>500000</v>
      </c>
      <c r="H180" s="439">
        <f t="shared" si="23"/>
        <v>0</v>
      </c>
      <c r="I180" s="440">
        <f t="shared" si="24"/>
        <v>2.156001452110098</v>
      </c>
      <c r="J180" s="466"/>
      <c r="K180" s="469">
        <v>500000</v>
      </c>
      <c r="L180" s="469">
        <v>500000</v>
      </c>
      <c r="M180" s="511"/>
    </row>
    <row r="181" spans="1:13" ht="27" customHeight="1">
      <c r="A181" s="435" t="s">
        <v>41</v>
      </c>
      <c r="B181" s="436"/>
      <c r="C181" s="437">
        <v>511200</v>
      </c>
      <c r="D181" s="438" t="s">
        <v>589</v>
      </c>
      <c r="E181" s="469">
        <v>0</v>
      </c>
      <c r="F181" s="469">
        <f t="shared" si="25"/>
        <v>800000</v>
      </c>
      <c r="G181" s="469">
        <v>800000</v>
      </c>
      <c r="H181" s="439">
        <f t="shared" si="23"/>
        <v>0</v>
      </c>
      <c r="I181" s="440">
        <f t="shared" si="24"/>
        <v>3.4496023233761566</v>
      </c>
      <c r="J181" s="466"/>
      <c r="K181" s="469">
        <v>800000</v>
      </c>
      <c r="L181" s="469">
        <v>800000</v>
      </c>
      <c r="M181" s="511"/>
    </row>
    <row r="182" spans="1:13" ht="25.5" customHeight="1">
      <c r="A182" s="435" t="s">
        <v>523</v>
      </c>
      <c r="B182" s="436"/>
      <c r="C182" s="437">
        <v>511200</v>
      </c>
      <c r="D182" s="438" t="s">
        <v>597</v>
      </c>
      <c r="E182" s="469">
        <v>0</v>
      </c>
      <c r="F182" s="469">
        <f t="shared" si="25"/>
        <v>225700</v>
      </c>
      <c r="G182" s="469">
        <v>225700</v>
      </c>
      <c r="H182" s="439">
        <f t="shared" si="23"/>
        <v>0</v>
      </c>
      <c r="I182" s="440">
        <f t="shared" si="24"/>
        <v>0.9732190554824983</v>
      </c>
      <c r="J182" s="466"/>
      <c r="K182" s="469">
        <v>225665.23</v>
      </c>
      <c r="L182" s="469">
        <v>225665.23</v>
      </c>
      <c r="M182" s="511">
        <f t="shared" si="22"/>
        <v>34.76999999998952</v>
      </c>
    </row>
    <row r="183" spans="1:13" ht="36.75" customHeight="1">
      <c r="A183" s="513" t="s">
        <v>41</v>
      </c>
      <c r="B183" s="436"/>
      <c r="C183" s="437">
        <v>511200</v>
      </c>
      <c r="D183" s="438" t="s">
        <v>592</v>
      </c>
      <c r="E183" s="469">
        <v>0</v>
      </c>
      <c r="F183" s="469">
        <f t="shared" si="25"/>
        <v>76210</v>
      </c>
      <c r="G183" s="469">
        <v>76210</v>
      </c>
      <c r="H183" s="439">
        <f>IF(E183&gt;0,G183/E183*100,0)</f>
        <v>0</v>
      </c>
      <c r="I183" s="440">
        <f t="shared" si="24"/>
        <v>0.3286177413306211</v>
      </c>
      <c r="J183" s="466"/>
      <c r="K183" s="469">
        <v>76210</v>
      </c>
      <c r="L183" s="469">
        <v>76210</v>
      </c>
      <c r="M183" s="511">
        <f t="shared" si="22"/>
        <v>0</v>
      </c>
    </row>
    <row r="184" spans="1:13" ht="47.25" customHeight="1">
      <c r="A184" s="435" t="s">
        <v>41</v>
      </c>
      <c r="B184" s="436"/>
      <c r="C184" s="437">
        <v>511200</v>
      </c>
      <c r="D184" s="438" t="s">
        <v>591</v>
      </c>
      <c r="E184" s="469">
        <v>0</v>
      </c>
      <c r="F184" s="469">
        <f t="shared" si="25"/>
        <v>30000</v>
      </c>
      <c r="G184" s="469">
        <v>30000</v>
      </c>
      <c r="H184" s="439">
        <f>IF(E184&gt;0,G184/E184*100,0)</f>
        <v>0</v>
      </c>
      <c r="I184" s="440">
        <f t="shared" si="24"/>
        <v>0.12936008712660588</v>
      </c>
      <c r="J184" s="466"/>
      <c r="K184" s="469">
        <v>30000</v>
      </c>
      <c r="L184" s="469">
        <v>30000</v>
      </c>
      <c r="M184" s="511">
        <f t="shared" si="22"/>
        <v>0</v>
      </c>
    </row>
    <row r="185" spans="1:13" ht="34.5" customHeight="1">
      <c r="A185" s="435" t="s">
        <v>41</v>
      </c>
      <c r="B185" s="436"/>
      <c r="C185" s="437">
        <v>511200</v>
      </c>
      <c r="D185" s="438" t="s">
        <v>601</v>
      </c>
      <c r="E185" s="469">
        <v>0</v>
      </c>
      <c r="F185" s="469">
        <f t="shared" si="25"/>
        <v>10000</v>
      </c>
      <c r="G185" s="469">
        <v>10000</v>
      </c>
      <c r="H185" s="439">
        <f>IF(E185&gt;0,G185/E185*100,0)</f>
        <v>0</v>
      </c>
      <c r="I185" s="440">
        <f t="shared" si="24"/>
        <v>0.04312002904220196</v>
      </c>
      <c r="J185" s="466"/>
      <c r="K185" s="469">
        <v>10000</v>
      </c>
      <c r="L185" s="469">
        <v>0</v>
      </c>
      <c r="M185" s="511">
        <f t="shared" si="22"/>
        <v>10000</v>
      </c>
    </row>
    <row r="186" spans="1:13" ht="15.75" customHeight="1">
      <c r="A186" s="41" t="s">
        <v>41</v>
      </c>
      <c r="B186" s="96"/>
      <c r="C186" s="97">
        <v>511200</v>
      </c>
      <c r="D186" s="95" t="s">
        <v>217</v>
      </c>
      <c r="E186" s="184">
        <v>10000</v>
      </c>
      <c r="F186" s="184">
        <f t="shared" si="25"/>
        <v>0</v>
      </c>
      <c r="G186" s="184">
        <v>10000</v>
      </c>
      <c r="H186" s="207">
        <f t="shared" si="23"/>
        <v>100</v>
      </c>
      <c r="I186" s="288">
        <f t="shared" si="24"/>
        <v>0.04312002904220196</v>
      </c>
      <c r="K186" s="184">
        <v>10000</v>
      </c>
      <c r="L186" s="184">
        <v>10000</v>
      </c>
      <c r="M186" s="511">
        <f t="shared" si="22"/>
        <v>0</v>
      </c>
    </row>
    <row r="187" spans="1:13" ht="15" customHeight="1">
      <c r="A187" s="41"/>
      <c r="B187" s="96"/>
      <c r="C187" s="97"/>
      <c r="D187" s="151" t="s">
        <v>371</v>
      </c>
      <c r="E187" s="320">
        <f>SUM(E188:E189)</f>
        <v>1466772.02</v>
      </c>
      <c r="F187" s="320">
        <f>SUM(F188:F189)</f>
        <v>0.9799999999813735</v>
      </c>
      <c r="G187" s="320">
        <f>SUM(G188:G189)</f>
        <v>1466773</v>
      </c>
      <c r="H187" s="320">
        <f t="shared" si="23"/>
        <v>100.00006681338249</v>
      </c>
      <c r="I187" s="322">
        <f t="shared" si="24"/>
        <v>6.324729435831769</v>
      </c>
      <c r="K187" s="320">
        <f>SUM(K188:K189)</f>
        <v>1466772.02</v>
      </c>
      <c r="L187" s="320">
        <f>SUM(L188:L189)</f>
        <v>1466772.02</v>
      </c>
      <c r="M187" s="511">
        <f t="shared" si="22"/>
        <v>0.9799999999813735</v>
      </c>
    </row>
    <row r="188" spans="1:13" ht="24">
      <c r="A188" s="41" t="s">
        <v>41</v>
      </c>
      <c r="B188" s="96"/>
      <c r="C188" s="97">
        <v>511200</v>
      </c>
      <c r="D188" s="95" t="s">
        <v>527</v>
      </c>
      <c r="E188" s="184">
        <v>1216772.02</v>
      </c>
      <c r="F188" s="184">
        <f t="shared" si="25"/>
        <v>0.9799999999813735</v>
      </c>
      <c r="G188" s="184">
        <v>1216773</v>
      </c>
      <c r="H188" s="196">
        <f t="shared" si="23"/>
        <v>100.00008054097103</v>
      </c>
      <c r="I188" s="399">
        <f t="shared" si="24"/>
        <v>5.24672870977672</v>
      </c>
      <c r="K188" s="184">
        <v>1216772.02</v>
      </c>
      <c r="L188" s="184">
        <v>1216772.02</v>
      </c>
      <c r="M188" s="511">
        <f t="shared" si="22"/>
        <v>0.9799999999813735</v>
      </c>
    </row>
    <row r="189" spans="1:13" ht="15" customHeight="1">
      <c r="A189" s="41" t="s">
        <v>523</v>
      </c>
      <c r="B189" s="96"/>
      <c r="C189" s="97">
        <v>511200</v>
      </c>
      <c r="D189" s="95" t="s">
        <v>522</v>
      </c>
      <c r="E189" s="468">
        <v>250000</v>
      </c>
      <c r="F189" s="468">
        <f t="shared" si="25"/>
        <v>0</v>
      </c>
      <c r="G189" s="468">
        <v>250000</v>
      </c>
      <c r="H189" s="490">
        <f t="shared" si="23"/>
        <v>100</v>
      </c>
      <c r="I189" s="399">
        <f t="shared" si="24"/>
        <v>1.078000726055049</v>
      </c>
      <c r="K189" s="468">
        <v>250000</v>
      </c>
      <c r="L189" s="468">
        <v>250000</v>
      </c>
      <c r="M189" s="511">
        <f t="shared" si="22"/>
        <v>0</v>
      </c>
    </row>
    <row r="190" spans="1:13" ht="25.5" customHeight="1">
      <c r="A190" s="588"/>
      <c r="B190" s="589"/>
      <c r="C190" s="550" t="s">
        <v>87</v>
      </c>
      <c r="D190" s="551"/>
      <c r="E190" s="347">
        <f>E148+E154+E164+E171+E174</f>
        <v>2798872.02</v>
      </c>
      <c r="F190" s="347">
        <f>F148+F154+F164+F171+F174</f>
        <v>1799447.98</v>
      </c>
      <c r="G190" s="347">
        <f>G148+G154+G164+G171+G174</f>
        <v>4598320</v>
      </c>
      <c r="H190" s="348">
        <f t="shared" si="23"/>
        <v>164.29189927733816</v>
      </c>
      <c r="I190" s="354">
        <f t="shared" si="24"/>
        <v>19.82796919453381</v>
      </c>
      <c r="K190" s="347">
        <f>K148+K154+K164+K171+K174</f>
        <v>4598007.25</v>
      </c>
      <c r="L190" s="347">
        <f>L148+L154+L164+L171+L174</f>
        <v>4529007.25</v>
      </c>
      <c r="M190" s="511">
        <f t="shared" si="22"/>
        <v>69312.75</v>
      </c>
    </row>
    <row r="191" spans="1:13" ht="9.75" customHeight="1">
      <c r="A191" s="548"/>
      <c r="B191" s="549"/>
      <c r="C191" s="560" t="s">
        <v>507</v>
      </c>
      <c r="D191" s="582"/>
      <c r="E191" s="172"/>
      <c r="F191" s="172"/>
      <c r="G191" s="172"/>
      <c r="H191" s="172"/>
      <c r="I191" s="369"/>
      <c r="K191" s="172"/>
      <c r="L191" s="172"/>
      <c r="M191" s="511">
        <f t="shared" si="22"/>
        <v>0</v>
      </c>
    </row>
    <row r="192" spans="1:13" ht="9.75" customHeight="1">
      <c r="A192" s="548"/>
      <c r="B192" s="549"/>
      <c r="C192" s="560"/>
      <c r="D192" s="582"/>
      <c r="E192" s="173"/>
      <c r="F192" s="173"/>
      <c r="G192" s="173"/>
      <c r="H192" s="173"/>
      <c r="I192" s="370"/>
      <c r="K192" s="173"/>
      <c r="L192" s="173"/>
      <c r="M192" s="511">
        <f t="shared" si="22"/>
        <v>0</v>
      </c>
    </row>
    <row r="193" spans="1:13" ht="9.75" customHeight="1">
      <c r="A193" s="548"/>
      <c r="B193" s="549"/>
      <c r="C193" s="560"/>
      <c r="D193" s="582"/>
      <c r="E193" s="173"/>
      <c r="F193" s="173"/>
      <c r="G193" s="173"/>
      <c r="H193" s="173"/>
      <c r="I193" s="370"/>
      <c r="K193" s="173"/>
      <c r="L193" s="173"/>
      <c r="M193" s="511">
        <f t="shared" si="22"/>
        <v>0</v>
      </c>
    </row>
    <row r="194" spans="1:13" ht="9" customHeight="1">
      <c r="A194" s="548"/>
      <c r="B194" s="549"/>
      <c r="C194" s="560"/>
      <c r="D194" s="582"/>
      <c r="E194" s="174"/>
      <c r="F194" s="174"/>
      <c r="G194" s="174"/>
      <c r="H194" s="174"/>
      <c r="I194" s="371"/>
      <c r="K194" s="174"/>
      <c r="L194" s="174"/>
      <c r="M194" s="511">
        <f t="shared" si="22"/>
        <v>0</v>
      </c>
    </row>
    <row r="195" spans="1:13" ht="14.25" customHeight="1">
      <c r="A195" s="137"/>
      <c r="B195" s="23">
        <v>412000</v>
      </c>
      <c r="C195" s="17"/>
      <c r="D195" s="32" t="s">
        <v>142</v>
      </c>
      <c r="E195" s="357">
        <f>SUM(E196:E198)</f>
        <v>6700</v>
      </c>
      <c r="F195" s="357">
        <f>SUM(F196:F198)</f>
        <v>-23</v>
      </c>
      <c r="G195" s="357">
        <f>SUM(G196:G198)</f>
        <v>6677</v>
      </c>
      <c r="H195" s="357">
        <f aca="true" t="shared" si="26" ref="H195:H227">IF(E195&gt;0,G195/E195*100,0)</f>
        <v>99.65671641791045</v>
      </c>
      <c r="I195" s="356">
        <f aca="true" t="shared" si="27" ref="I195:I227">G195/$G$502*100</f>
        <v>0.02879124339147825</v>
      </c>
      <c r="K195" s="357">
        <f>SUM(K196:K198)</f>
        <v>6677</v>
      </c>
      <c r="L195" s="357">
        <f>SUM(L196:L198)</f>
        <v>6677</v>
      </c>
      <c r="M195" s="511">
        <f t="shared" si="22"/>
        <v>0</v>
      </c>
    </row>
    <row r="196" spans="1:13" ht="13.5" customHeight="1">
      <c r="A196" s="137" t="s">
        <v>36</v>
      </c>
      <c r="B196" s="33"/>
      <c r="C196" s="17">
        <v>412500</v>
      </c>
      <c r="D196" s="34" t="s">
        <v>138</v>
      </c>
      <c r="E196" s="196">
        <v>6000</v>
      </c>
      <c r="F196" s="196">
        <f aca="true" t="shared" si="28" ref="F196:F226">G196-E196</f>
        <v>0</v>
      </c>
      <c r="G196" s="196">
        <v>6000</v>
      </c>
      <c r="H196" s="207">
        <f t="shared" si="26"/>
        <v>100</v>
      </c>
      <c r="I196" s="288">
        <f t="shared" si="27"/>
        <v>0.025872017425321178</v>
      </c>
      <c r="K196" s="196">
        <v>6000</v>
      </c>
      <c r="L196" s="196">
        <v>6000</v>
      </c>
      <c r="M196" s="511">
        <f t="shared" si="22"/>
        <v>0</v>
      </c>
    </row>
    <row r="197" spans="1:13" ht="12.75" customHeight="1">
      <c r="A197" s="137" t="s">
        <v>27</v>
      </c>
      <c r="B197" s="33"/>
      <c r="C197" s="17">
        <v>412900</v>
      </c>
      <c r="D197" s="30" t="s">
        <v>0</v>
      </c>
      <c r="E197" s="196">
        <v>400</v>
      </c>
      <c r="F197" s="196">
        <f t="shared" si="28"/>
        <v>-16</v>
      </c>
      <c r="G197" s="196">
        <v>384</v>
      </c>
      <c r="H197" s="207">
        <f t="shared" si="26"/>
        <v>96</v>
      </c>
      <c r="I197" s="288">
        <f t="shared" si="27"/>
        <v>0.0016558091152205552</v>
      </c>
      <c r="K197" s="196">
        <v>384</v>
      </c>
      <c r="L197" s="196">
        <v>384</v>
      </c>
      <c r="M197" s="511">
        <f t="shared" si="22"/>
        <v>0</v>
      </c>
    </row>
    <row r="198" spans="1:13" ht="24" customHeight="1">
      <c r="A198" s="40" t="s">
        <v>37</v>
      </c>
      <c r="B198" s="33"/>
      <c r="C198" s="17">
        <v>412900</v>
      </c>
      <c r="D198" s="30" t="s">
        <v>113</v>
      </c>
      <c r="E198" s="196">
        <v>300</v>
      </c>
      <c r="F198" s="196">
        <f t="shared" si="28"/>
        <v>-7</v>
      </c>
      <c r="G198" s="196">
        <v>293</v>
      </c>
      <c r="H198" s="207">
        <f t="shared" si="26"/>
        <v>97.66666666666667</v>
      </c>
      <c r="I198" s="288">
        <f t="shared" si="27"/>
        <v>0.0012634168509365175</v>
      </c>
      <c r="K198" s="196">
        <v>293</v>
      </c>
      <c r="L198" s="196">
        <v>293</v>
      </c>
      <c r="M198" s="511">
        <f t="shared" si="22"/>
        <v>0</v>
      </c>
    </row>
    <row r="199" spans="1:13" ht="14.25" customHeight="1">
      <c r="A199" s="40"/>
      <c r="B199" s="93">
        <v>415000</v>
      </c>
      <c r="C199" s="17"/>
      <c r="D199" s="59" t="s">
        <v>156</v>
      </c>
      <c r="E199" s="187">
        <f>SUM(E200:E215)</f>
        <v>238800</v>
      </c>
      <c r="F199" s="187">
        <f>SUM(F200:F215)</f>
        <v>-12374</v>
      </c>
      <c r="G199" s="187">
        <f>SUM(G200:G215)</f>
        <v>226426</v>
      </c>
      <c r="H199" s="187">
        <f t="shared" si="26"/>
        <v>94.81825795644892</v>
      </c>
      <c r="I199" s="314">
        <f t="shared" si="27"/>
        <v>0.9763495695909621</v>
      </c>
      <c r="K199" s="187">
        <f>SUM(K200:K215)</f>
        <v>226426</v>
      </c>
      <c r="L199" s="187">
        <f>SUM(L200:L215)</f>
        <v>226426</v>
      </c>
      <c r="M199" s="511">
        <f t="shared" si="22"/>
        <v>0</v>
      </c>
    </row>
    <row r="200" spans="1:13" ht="12.75" customHeight="1">
      <c r="A200" s="137" t="s">
        <v>47</v>
      </c>
      <c r="B200" s="99"/>
      <c r="C200" s="62">
        <v>415200</v>
      </c>
      <c r="D200" s="49" t="s">
        <v>224</v>
      </c>
      <c r="E200" s="184">
        <v>97000</v>
      </c>
      <c r="F200" s="184">
        <f t="shared" si="28"/>
        <v>-9700</v>
      </c>
      <c r="G200" s="184">
        <v>87300</v>
      </c>
      <c r="H200" s="207">
        <f t="shared" si="26"/>
        <v>90</v>
      </c>
      <c r="I200" s="288">
        <f t="shared" si="27"/>
        <v>0.3764378535384231</v>
      </c>
      <c r="K200" s="184">
        <v>87300</v>
      </c>
      <c r="L200" s="184">
        <v>87300</v>
      </c>
      <c r="M200" s="511">
        <f t="shared" si="22"/>
        <v>0</v>
      </c>
    </row>
    <row r="201" spans="1:13" ht="12.75" customHeight="1">
      <c r="A201" s="137" t="s">
        <v>47</v>
      </c>
      <c r="B201" s="99"/>
      <c r="C201" s="62">
        <v>415200</v>
      </c>
      <c r="D201" s="63" t="s">
        <v>336</v>
      </c>
      <c r="E201" s="184">
        <v>0</v>
      </c>
      <c r="F201" s="184">
        <f t="shared" si="28"/>
        <v>3080</v>
      </c>
      <c r="G201" s="184">
        <v>3080</v>
      </c>
      <c r="H201" s="207">
        <f t="shared" si="26"/>
        <v>0</v>
      </c>
      <c r="I201" s="288">
        <f t="shared" si="27"/>
        <v>0.013280968944998204</v>
      </c>
      <c r="K201" s="184">
        <v>3080</v>
      </c>
      <c r="L201" s="184">
        <v>3080</v>
      </c>
      <c r="M201" s="511">
        <f t="shared" si="22"/>
        <v>0</v>
      </c>
    </row>
    <row r="202" spans="1:13" ht="24">
      <c r="A202" s="137" t="s">
        <v>47</v>
      </c>
      <c r="B202" s="99"/>
      <c r="C202" s="62">
        <v>415200</v>
      </c>
      <c r="D202" s="49" t="s">
        <v>364</v>
      </c>
      <c r="E202" s="184">
        <v>28000</v>
      </c>
      <c r="F202" s="184">
        <f t="shared" si="28"/>
        <v>0</v>
      </c>
      <c r="G202" s="184">
        <v>28000</v>
      </c>
      <c r="H202" s="207">
        <f t="shared" si="26"/>
        <v>100</v>
      </c>
      <c r="I202" s="288">
        <f t="shared" si="27"/>
        <v>0.12073608131816548</v>
      </c>
      <c r="K202" s="184">
        <v>28000</v>
      </c>
      <c r="L202" s="184">
        <v>28000</v>
      </c>
      <c r="M202" s="511">
        <f t="shared" si="22"/>
        <v>0</v>
      </c>
    </row>
    <row r="203" spans="1:13" ht="12.75" customHeight="1">
      <c r="A203" s="137" t="s">
        <v>47</v>
      </c>
      <c r="B203" s="99"/>
      <c r="C203" s="62">
        <v>415200</v>
      </c>
      <c r="D203" s="49" t="s">
        <v>225</v>
      </c>
      <c r="E203" s="184">
        <v>26000</v>
      </c>
      <c r="F203" s="184">
        <f t="shared" si="28"/>
        <v>-2600</v>
      </c>
      <c r="G203" s="184">
        <v>23400</v>
      </c>
      <c r="H203" s="207">
        <f t="shared" si="26"/>
        <v>90</v>
      </c>
      <c r="I203" s="288">
        <f t="shared" si="27"/>
        <v>0.10090086795875258</v>
      </c>
      <c r="K203" s="184">
        <v>23400</v>
      </c>
      <c r="L203" s="184">
        <v>23400</v>
      </c>
      <c r="M203" s="511">
        <f t="shared" si="22"/>
        <v>0</v>
      </c>
    </row>
    <row r="204" spans="1:13" ht="24" customHeight="1">
      <c r="A204" s="137" t="s">
        <v>47</v>
      </c>
      <c r="B204" s="99"/>
      <c r="C204" s="62">
        <v>415200</v>
      </c>
      <c r="D204" s="49" t="s">
        <v>226</v>
      </c>
      <c r="E204" s="184">
        <v>31000</v>
      </c>
      <c r="F204" s="184">
        <f t="shared" si="28"/>
        <v>-3100</v>
      </c>
      <c r="G204" s="184">
        <v>27900</v>
      </c>
      <c r="H204" s="207">
        <f t="shared" si="26"/>
        <v>90</v>
      </c>
      <c r="I204" s="288">
        <f t="shared" si="27"/>
        <v>0.12030488102774348</v>
      </c>
      <c r="K204" s="184">
        <v>27900</v>
      </c>
      <c r="L204" s="184">
        <v>27900</v>
      </c>
      <c r="M204" s="511">
        <f t="shared" si="22"/>
        <v>0</v>
      </c>
    </row>
    <row r="205" spans="1:13" ht="13.5" customHeight="1">
      <c r="A205" s="137" t="s">
        <v>47</v>
      </c>
      <c r="B205" s="99"/>
      <c r="C205" s="62">
        <v>415200</v>
      </c>
      <c r="D205" s="49" t="s">
        <v>334</v>
      </c>
      <c r="E205" s="184">
        <v>8000</v>
      </c>
      <c r="F205" s="184">
        <f t="shared" si="28"/>
        <v>-800</v>
      </c>
      <c r="G205" s="184">
        <v>7200</v>
      </c>
      <c r="H205" s="207">
        <f t="shared" si="26"/>
        <v>90</v>
      </c>
      <c r="I205" s="288">
        <f t="shared" si="27"/>
        <v>0.03104642091038541</v>
      </c>
      <c r="K205" s="184">
        <v>7200</v>
      </c>
      <c r="L205" s="184">
        <v>7200</v>
      </c>
      <c r="M205" s="511">
        <f aca="true" t="shared" si="29" ref="M205:M268">G205-L205</f>
        <v>0</v>
      </c>
    </row>
    <row r="206" spans="1:13" ht="13.5" customHeight="1">
      <c r="A206" s="137" t="s">
        <v>47</v>
      </c>
      <c r="B206" s="99"/>
      <c r="C206" s="62">
        <v>415200</v>
      </c>
      <c r="D206" s="49" t="s">
        <v>227</v>
      </c>
      <c r="E206" s="184">
        <v>5000</v>
      </c>
      <c r="F206" s="184">
        <f t="shared" si="28"/>
        <v>-500</v>
      </c>
      <c r="G206" s="184">
        <v>4500</v>
      </c>
      <c r="H206" s="207">
        <f t="shared" si="26"/>
        <v>90</v>
      </c>
      <c r="I206" s="288">
        <f t="shared" si="27"/>
        <v>0.019404013068990884</v>
      </c>
      <c r="K206" s="184">
        <v>4500</v>
      </c>
      <c r="L206" s="184">
        <v>4500</v>
      </c>
      <c r="M206" s="511">
        <f t="shared" si="29"/>
        <v>0</v>
      </c>
    </row>
    <row r="207" spans="1:13" ht="13.5" customHeight="1">
      <c r="A207" s="137" t="s">
        <v>47</v>
      </c>
      <c r="B207" s="99"/>
      <c r="C207" s="62">
        <v>415200</v>
      </c>
      <c r="D207" s="63" t="s">
        <v>555</v>
      </c>
      <c r="E207" s="184">
        <v>0</v>
      </c>
      <c r="F207" s="184">
        <f t="shared" si="28"/>
        <v>1318</v>
      </c>
      <c r="G207" s="184">
        <v>1318</v>
      </c>
      <c r="H207" s="207">
        <f t="shared" si="26"/>
        <v>0</v>
      </c>
      <c r="I207" s="288">
        <f t="shared" si="27"/>
        <v>0.005683219827762219</v>
      </c>
      <c r="K207" s="184">
        <v>1318</v>
      </c>
      <c r="L207" s="184">
        <v>1318</v>
      </c>
      <c r="M207" s="511">
        <f t="shared" si="29"/>
        <v>0</v>
      </c>
    </row>
    <row r="208" spans="1:13" ht="13.5" customHeight="1">
      <c r="A208" s="137" t="s">
        <v>47</v>
      </c>
      <c r="B208" s="99"/>
      <c r="C208" s="62">
        <v>415200</v>
      </c>
      <c r="D208" s="63" t="s">
        <v>433</v>
      </c>
      <c r="E208" s="184">
        <v>5000</v>
      </c>
      <c r="F208" s="184">
        <f t="shared" si="28"/>
        <v>-500</v>
      </c>
      <c r="G208" s="184">
        <v>4500</v>
      </c>
      <c r="H208" s="207">
        <f t="shared" si="26"/>
        <v>90</v>
      </c>
      <c r="I208" s="288">
        <f t="shared" si="27"/>
        <v>0.019404013068990884</v>
      </c>
      <c r="K208" s="184">
        <v>4500</v>
      </c>
      <c r="L208" s="184">
        <v>4500</v>
      </c>
      <c r="M208" s="511">
        <f t="shared" si="29"/>
        <v>0</v>
      </c>
    </row>
    <row r="209" spans="1:13" ht="24" customHeight="1" hidden="1">
      <c r="A209" s="137" t="s">
        <v>47</v>
      </c>
      <c r="B209" s="99"/>
      <c r="C209" s="62">
        <v>415200</v>
      </c>
      <c r="D209" s="63" t="s">
        <v>454</v>
      </c>
      <c r="E209" s="196">
        <v>0</v>
      </c>
      <c r="F209" s="196">
        <f t="shared" si="28"/>
        <v>0</v>
      </c>
      <c r="G209" s="196">
        <v>0</v>
      </c>
      <c r="H209" s="207">
        <f t="shared" si="26"/>
        <v>0</v>
      </c>
      <c r="I209" s="288">
        <f t="shared" si="27"/>
        <v>0</v>
      </c>
      <c r="K209" s="196"/>
      <c r="L209" s="196">
        <v>0</v>
      </c>
      <c r="M209" s="511">
        <f t="shared" si="29"/>
        <v>0</v>
      </c>
    </row>
    <row r="210" spans="1:13" ht="27" customHeight="1">
      <c r="A210" s="137" t="s">
        <v>47</v>
      </c>
      <c r="B210" s="99"/>
      <c r="C210" s="62">
        <v>415200</v>
      </c>
      <c r="D210" s="63" t="s">
        <v>283</v>
      </c>
      <c r="E210" s="196">
        <v>2800</v>
      </c>
      <c r="F210" s="196">
        <f t="shared" si="28"/>
        <v>500</v>
      </c>
      <c r="G210" s="196">
        <v>3300</v>
      </c>
      <c r="H210" s="207">
        <f t="shared" si="26"/>
        <v>117.85714285714286</v>
      </c>
      <c r="I210" s="288">
        <f t="shared" si="27"/>
        <v>0.014229609583926646</v>
      </c>
      <c r="K210" s="196">
        <v>3300</v>
      </c>
      <c r="L210" s="196">
        <v>3300</v>
      </c>
      <c r="M210" s="511">
        <f t="shared" si="29"/>
        <v>0</v>
      </c>
    </row>
    <row r="211" spans="1:13" ht="36.75" customHeight="1">
      <c r="A211" s="137" t="s">
        <v>47</v>
      </c>
      <c r="B211" s="99"/>
      <c r="C211" s="62">
        <v>415200</v>
      </c>
      <c r="D211" s="63" t="s">
        <v>556</v>
      </c>
      <c r="E211" s="196">
        <v>0</v>
      </c>
      <c r="F211" s="196">
        <f t="shared" si="28"/>
        <v>428</v>
      </c>
      <c r="G211" s="196">
        <v>428</v>
      </c>
      <c r="H211" s="207">
        <f t="shared" si="26"/>
        <v>0</v>
      </c>
      <c r="I211" s="288">
        <f t="shared" si="27"/>
        <v>0.0018455372430062438</v>
      </c>
      <c r="K211" s="196">
        <v>428</v>
      </c>
      <c r="L211" s="196">
        <v>428</v>
      </c>
      <c r="M211" s="511">
        <f t="shared" si="29"/>
        <v>0</v>
      </c>
    </row>
    <row r="212" spans="1:13" ht="24.75" customHeight="1">
      <c r="A212" s="137" t="s">
        <v>47</v>
      </c>
      <c r="B212" s="99"/>
      <c r="C212" s="62">
        <v>415200</v>
      </c>
      <c r="D212" s="49" t="s">
        <v>285</v>
      </c>
      <c r="E212" s="196">
        <v>6000</v>
      </c>
      <c r="F212" s="196">
        <f t="shared" si="28"/>
        <v>0</v>
      </c>
      <c r="G212" s="196">
        <v>6000</v>
      </c>
      <c r="H212" s="207">
        <f t="shared" si="26"/>
        <v>100</v>
      </c>
      <c r="I212" s="288">
        <f t="shared" si="27"/>
        <v>0.025872017425321178</v>
      </c>
      <c r="K212" s="196">
        <v>6000</v>
      </c>
      <c r="L212" s="196">
        <v>6000</v>
      </c>
      <c r="M212" s="511">
        <f t="shared" si="29"/>
        <v>0</v>
      </c>
    </row>
    <row r="213" spans="1:13" ht="24" customHeight="1">
      <c r="A213" s="40" t="s">
        <v>47</v>
      </c>
      <c r="B213" s="100"/>
      <c r="C213" s="97">
        <v>415200</v>
      </c>
      <c r="D213" s="95" t="s">
        <v>214</v>
      </c>
      <c r="E213" s="184">
        <v>30000</v>
      </c>
      <c r="F213" s="184">
        <f t="shared" si="28"/>
        <v>-500</v>
      </c>
      <c r="G213" s="184">
        <v>29500</v>
      </c>
      <c r="H213" s="207">
        <f t="shared" si="26"/>
        <v>98.33333333333333</v>
      </c>
      <c r="I213" s="288">
        <f t="shared" si="27"/>
        <v>0.1272040856744958</v>
      </c>
      <c r="K213" s="184">
        <v>29500</v>
      </c>
      <c r="L213" s="184">
        <v>29500</v>
      </c>
      <c r="M213" s="511">
        <f t="shared" si="29"/>
        <v>0</v>
      </c>
    </row>
    <row r="214" spans="1:13" ht="24" hidden="1">
      <c r="A214" s="41" t="s">
        <v>47</v>
      </c>
      <c r="B214" s="100"/>
      <c r="C214" s="97">
        <v>415200</v>
      </c>
      <c r="D214" s="95" t="s">
        <v>329</v>
      </c>
      <c r="E214" s="207">
        <v>0</v>
      </c>
      <c r="F214" s="207">
        <f t="shared" si="28"/>
        <v>0</v>
      </c>
      <c r="G214" s="207">
        <v>0</v>
      </c>
      <c r="H214" s="207">
        <f t="shared" si="26"/>
        <v>0</v>
      </c>
      <c r="I214" s="288">
        <f t="shared" si="27"/>
        <v>0</v>
      </c>
      <c r="K214" s="207">
        <v>0</v>
      </c>
      <c r="L214" s="207">
        <v>0</v>
      </c>
      <c r="M214" s="511">
        <f t="shared" si="29"/>
        <v>0</v>
      </c>
    </row>
    <row r="215" spans="1:13" ht="26.25" customHeight="1" hidden="1">
      <c r="A215" s="41" t="s">
        <v>47</v>
      </c>
      <c r="B215" s="100"/>
      <c r="C215" s="97">
        <v>415200</v>
      </c>
      <c r="D215" s="95" t="s">
        <v>380</v>
      </c>
      <c r="E215" s="196">
        <v>0</v>
      </c>
      <c r="F215" s="196">
        <f t="shared" si="28"/>
        <v>0</v>
      </c>
      <c r="G215" s="196">
        <v>0</v>
      </c>
      <c r="H215" s="207">
        <f t="shared" si="26"/>
        <v>0</v>
      </c>
      <c r="I215" s="288">
        <f t="shared" si="27"/>
        <v>0</v>
      </c>
      <c r="K215" s="196">
        <v>0</v>
      </c>
      <c r="L215" s="196">
        <v>0</v>
      </c>
      <c r="M215" s="511">
        <f t="shared" si="29"/>
        <v>0</v>
      </c>
    </row>
    <row r="216" spans="1:13" s="111" customFormat="1" ht="14.25" customHeight="1">
      <c r="A216" s="41"/>
      <c r="B216" s="96">
        <v>416000</v>
      </c>
      <c r="C216" s="150"/>
      <c r="D216" s="151" t="s">
        <v>1</v>
      </c>
      <c r="E216" s="222">
        <f>SUM(E217:E218)</f>
        <v>50000</v>
      </c>
      <c r="F216" s="222">
        <f>SUM(F217:F218)</f>
        <v>-9800</v>
      </c>
      <c r="G216" s="222">
        <f>SUM(G217:G218)</f>
        <v>40200</v>
      </c>
      <c r="H216" s="187">
        <f t="shared" si="26"/>
        <v>80.4</v>
      </c>
      <c r="I216" s="314">
        <f t="shared" si="27"/>
        <v>0.1733425167496519</v>
      </c>
      <c r="J216" s="389"/>
      <c r="K216" s="222">
        <f>SUM(K217:K218)</f>
        <v>45200</v>
      </c>
      <c r="L216" s="222">
        <f>SUM(L217:L218)</f>
        <v>45200</v>
      </c>
      <c r="M216" s="511">
        <f t="shared" si="29"/>
        <v>-5000</v>
      </c>
    </row>
    <row r="217" spans="1:13" s="111" customFormat="1" ht="19.5" customHeight="1">
      <c r="A217" s="41" t="s">
        <v>33</v>
      </c>
      <c r="B217" s="149"/>
      <c r="C217" s="37">
        <v>416100</v>
      </c>
      <c r="D217" s="508" t="s">
        <v>287</v>
      </c>
      <c r="E217" s="270">
        <v>50000</v>
      </c>
      <c r="F217" s="270">
        <f t="shared" si="28"/>
        <v>-10000</v>
      </c>
      <c r="G217" s="270">
        <v>40000</v>
      </c>
      <c r="H217" s="207">
        <f t="shared" si="26"/>
        <v>80</v>
      </c>
      <c r="I217" s="288">
        <f t="shared" si="27"/>
        <v>0.17248011616880785</v>
      </c>
      <c r="J217" s="398"/>
      <c r="K217" s="270">
        <v>45000</v>
      </c>
      <c r="L217" s="270">
        <v>45000</v>
      </c>
      <c r="M217" s="511">
        <f t="shared" si="29"/>
        <v>-5000</v>
      </c>
    </row>
    <row r="218" spans="1:13" s="111" customFormat="1" ht="23.25" customHeight="1">
      <c r="A218" s="41" t="s">
        <v>33</v>
      </c>
      <c r="B218" s="149"/>
      <c r="C218" s="37">
        <v>416100</v>
      </c>
      <c r="D218" s="34" t="s">
        <v>557</v>
      </c>
      <c r="E218" s="270">
        <v>0</v>
      </c>
      <c r="F218" s="270">
        <f t="shared" si="28"/>
        <v>200</v>
      </c>
      <c r="G218" s="270">
        <v>200</v>
      </c>
      <c r="H218" s="207">
        <f>IF(E218&gt;0,G218/E218*100,0)</f>
        <v>0</v>
      </c>
      <c r="I218" s="288">
        <f t="shared" si="27"/>
        <v>0.0008624005808440392</v>
      </c>
      <c r="J218" s="398"/>
      <c r="K218" s="270">
        <v>200</v>
      </c>
      <c r="L218" s="270">
        <v>200</v>
      </c>
      <c r="M218" s="511">
        <f t="shared" si="29"/>
        <v>0</v>
      </c>
    </row>
    <row r="219" spans="1:13" ht="15" customHeight="1">
      <c r="A219" s="137"/>
      <c r="B219" s="23">
        <v>511000</v>
      </c>
      <c r="C219" s="37"/>
      <c r="D219" s="32" t="s">
        <v>160</v>
      </c>
      <c r="E219" s="187">
        <f>SUM(E220:E221)</f>
        <v>30000</v>
      </c>
      <c r="F219" s="187">
        <f>SUM(F220:F221)</f>
        <v>-9584</v>
      </c>
      <c r="G219" s="187">
        <f>SUM(G220:G221)</f>
        <v>20416</v>
      </c>
      <c r="H219" s="187">
        <f t="shared" si="26"/>
        <v>68.05333333333333</v>
      </c>
      <c r="I219" s="314">
        <f t="shared" si="27"/>
        <v>0.08803385129255953</v>
      </c>
      <c r="K219" s="187">
        <f>SUM(K220:K221)</f>
        <v>20415.77</v>
      </c>
      <c r="L219" s="187">
        <f>SUM(L220:L221)</f>
        <v>20415.77</v>
      </c>
      <c r="M219" s="511">
        <f t="shared" si="29"/>
        <v>0.22999999999956344</v>
      </c>
    </row>
    <row r="220" spans="1:13" ht="24">
      <c r="A220" s="137" t="s">
        <v>47</v>
      </c>
      <c r="B220" s="23"/>
      <c r="C220" s="37">
        <v>511100</v>
      </c>
      <c r="D220" s="508" t="s">
        <v>291</v>
      </c>
      <c r="E220" s="196">
        <v>30000</v>
      </c>
      <c r="F220" s="196">
        <f t="shared" si="28"/>
        <v>-12584</v>
      </c>
      <c r="G220" s="196">
        <v>17416</v>
      </c>
      <c r="H220" s="207">
        <f t="shared" si="26"/>
        <v>58.053333333333335</v>
      </c>
      <c r="I220" s="288">
        <f t="shared" si="27"/>
        <v>0.07509784257989893</v>
      </c>
      <c r="K220" s="196">
        <v>17415.77</v>
      </c>
      <c r="L220" s="196">
        <v>17415.77</v>
      </c>
      <c r="M220" s="511">
        <f t="shared" si="29"/>
        <v>0.22999999999956344</v>
      </c>
    </row>
    <row r="221" spans="1:13" ht="33.75" customHeight="1">
      <c r="A221" s="137" t="s">
        <v>47</v>
      </c>
      <c r="B221" s="23"/>
      <c r="C221" s="37">
        <v>511100</v>
      </c>
      <c r="D221" s="30" t="s">
        <v>564</v>
      </c>
      <c r="E221" s="196">
        <v>0</v>
      </c>
      <c r="F221" s="196">
        <f t="shared" si="28"/>
        <v>3000</v>
      </c>
      <c r="G221" s="196">
        <v>3000</v>
      </c>
      <c r="H221" s="207">
        <f t="shared" si="26"/>
        <v>0</v>
      </c>
      <c r="I221" s="288">
        <f t="shared" si="27"/>
        <v>0.012936008712660589</v>
      </c>
      <c r="K221" s="196">
        <v>3000</v>
      </c>
      <c r="L221" s="196">
        <v>3000</v>
      </c>
      <c r="M221" s="511">
        <f t="shared" si="29"/>
        <v>0</v>
      </c>
    </row>
    <row r="222" spans="1:13" ht="22.5" customHeight="1">
      <c r="A222" s="137"/>
      <c r="B222" s="23"/>
      <c r="C222" s="37"/>
      <c r="D222" s="32" t="s">
        <v>347</v>
      </c>
      <c r="E222" s="331">
        <f>SUM(E223:E226)</f>
        <v>28000</v>
      </c>
      <c r="F222" s="331">
        <f>SUM(F223:F226)</f>
        <v>-20000</v>
      </c>
      <c r="G222" s="331">
        <f>SUM(G223:G226)</f>
        <v>8000</v>
      </c>
      <c r="H222" s="331">
        <f t="shared" si="26"/>
        <v>28.57142857142857</v>
      </c>
      <c r="I222" s="441">
        <f t="shared" si="27"/>
        <v>0.034496023233761566</v>
      </c>
      <c r="K222" s="331">
        <f>SUM(K223:K226)</f>
        <v>28000</v>
      </c>
      <c r="L222" s="331">
        <f>SUM(L223:L226)</f>
        <v>28000</v>
      </c>
      <c r="M222" s="511">
        <f t="shared" si="29"/>
        <v>-20000</v>
      </c>
    </row>
    <row r="223" spans="1:13" ht="12.75">
      <c r="A223" s="137" t="s">
        <v>59</v>
      </c>
      <c r="B223" s="23"/>
      <c r="C223" s="37">
        <v>412900</v>
      </c>
      <c r="D223" s="30" t="s">
        <v>327</v>
      </c>
      <c r="E223" s="317">
        <v>2000</v>
      </c>
      <c r="F223" s="317">
        <f t="shared" si="28"/>
        <v>0</v>
      </c>
      <c r="G223" s="317">
        <v>2000</v>
      </c>
      <c r="H223" s="317">
        <f t="shared" si="26"/>
        <v>100</v>
      </c>
      <c r="I223" s="288">
        <f t="shared" si="27"/>
        <v>0.008624005808440392</v>
      </c>
      <c r="K223" s="317">
        <v>2000</v>
      </c>
      <c r="L223" s="317">
        <v>2000</v>
      </c>
      <c r="M223" s="511">
        <f t="shared" si="29"/>
        <v>0</v>
      </c>
    </row>
    <row r="224" spans="1:13" ht="23.25" customHeight="1">
      <c r="A224" s="137" t="s">
        <v>59</v>
      </c>
      <c r="B224" s="23"/>
      <c r="C224" s="37">
        <v>412900</v>
      </c>
      <c r="D224" s="30" t="s">
        <v>379</v>
      </c>
      <c r="E224" s="317">
        <v>2000</v>
      </c>
      <c r="F224" s="317">
        <f t="shared" si="28"/>
        <v>0</v>
      </c>
      <c r="G224" s="317">
        <v>2000</v>
      </c>
      <c r="H224" s="317">
        <f t="shared" si="26"/>
        <v>100</v>
      </c>
      <c r="I224" s="288">
        <f t="shared" si="27"/>
        <v>0.008624005808440392</v>
      </c>
      <c r="K224" s="317">
        <v>2000</v>
      </c>
      <c r="L224" s="317">
        <v>2000</v>
      </c>
      <c r="M224" s="511">
        <f t="shared" si="29"/>
        <v>0</v>
      </c>
    </row>
    <row r="225" spans="1:13" ht="14.25" customHeight="1">
      <c r="A225" s="137" t="s">
        <v>33</v>
      </c>
      <c r="B225" s="23"/>
      <c r="C225" s="37">
        <v>416100</v>
      </c>
      <c r="D225" s="30" t="s">
        <v>223</v>
      </c>
      <c r="E225" s="317">
        <v>20000</v>
      </c>
      <c r="F225" s="317">
        <f t="shared" si="28"/>
        <v>-20000</v>
      </c>
      <c r="G225" s="317">
        <v>0</v>
      </c>
      <c r="H225" s="317">
        <f t="shared" si="26"/>
        <v>0</v>
      </c>
      <c r="I225" s="288">
        <f t="shared" si="27"/>
        <v>0</v>
      </c>
      <c r="K225" s="317">
        <v>20000</v>
      </c>
      <c r="L225" s="317">
        <v>20000</v>
      </c>
      <c r="M225" s="511">
        <f t="shared" si="29"/>
        <v>-20000</v>
      </c>
    </row>
    <row r="226" spans="1:13" ht="12.75">
      <c r="A226" s="137" t="s">
        <v>59</v>
      </c>
      <c r="B226" s="23"/>
      <c r="C226" s="37">
        <v>511300</v>
      </c>
      <c r="D226" s="30" t="s">
        <v>328</v>
      </c>
      <c r="E226" s="317">
        <v>4000</v>
      </c>
      <c r="F226" s="317">
        <f t="shared" si="28"/>
        <v>0</v>
      </c>
      <c r="G226" s="317">
        <v>4000</v>
      </c>
      <c r="H226" s="317">
        <f t="shared" si="26"/>
        <v>100</v>
      </c>
      <c r="I226" s="288">
        <f t="shared" si="27"/>
        <v>0.017248011616880783</v>
      </c>
      <c r="K226" s="317">
        <v>4000</v>
      </c>
      <c r="L226" s="317">
        <v>4000</v>
      </c>
      <c r="M226" s="511">
        <f t="shared" si="29"/>
        <v>0</v>
      </c>
    </row>
    <row r="227" spans="1:13" ht="26.25" customHeight="1">
      <c r="A227" s="548"/>
      <c r="B227" s="549"/>
      <c r="C227" s="550" t="s">
        <v>88</v>
      </c>
      <c r="D227" s="551"/>
      <c r="E227" s="71">
        <f>E195+E199+E216+E219+E222</f>
        <v>353500</v>
      </c>
      <c r="F227" s="71">
        <f>F195+F199+F216+F219+F222</f>
        <v>-51781</v>
      </c>
      <c r="G227" s="71">
        <f>G195+G199+G216+G219+G222</f>
        <v>301719</v>
      </c>
      <c r="H227" s="323">
        <f t="shared" si="26"/>
        <v>85.35190947666194</v>
      </c>
      <c r="I227" s="324">
        <f t="shared" si="27"/>
        <v>1.3010132042584133</v>
      </c>
      <c r="K227" s="71">
        <f>K195+K199+K216+K219+K222</f>
        <v>326718.77</v>
      </c>
      <c r="L227" s="71">
        <f>L195+L199+L216+L219+L222</f>
        <v>326718.77</v>
      </c>
      <c r="M227" s="511">
        <f t="shared" si="29"/>
        <v>-24999.77000000002</v>
      </c>
    </row>
    <row r="228" spans="1:13" ht="9.75" customHeight="1">
      <c r="A228" s="548"/>
      <c r="B228" s="549"/>
      <c r="C228" s="560" t="s">
        <v>125</v>
      </c>
      <c r="D228" s="561"/>
      <c r="E228" s="175"/>
      <c r="F228" s="175"/>
      <c r="G228" s="175"/>
      <c r="H228" s="175"/>
      <c r="I228" s="372"/>
      <c r="K228" s="175"/>
      <c r="L228" s="175"/>
      <c r="M228" s="511">
        <f t="shared" si="29"/>
        <v>0</v>
      </c>
    </row>
    <row r="229" spans="1:13" ht="9.75" customHeight="1">
      <c r="A229" s="548"/>
      <c r="B229" s="549"/>
      <c r="C229" s="562"/>
      <c r="D229" s="561"/>
      <c r="E229" s="176"/>
      <c r="F229" s="515"/>
      <c r="G229" s="176"/>
      <c r="H229" s="176"/>
      <c r="I229" s="373"/>
      <c r="K229" s="176"/>
      <c r="L229" s="176"/>
      <c r="M229" s="511">
        <f t="shared" si="29"/>
        <v>0</v>
      </c>
    </row>
    <row r="230" spans="1:13" ht="19.5" customHeight="1">
      <c r="A230" s="548"/>
      <c r="B230" s="549"/>
      <c r="C230" s="562"/>
      <c r="D230" s="561"/>
      <c r="E230" s="177"/>
      <c r="F230" s="177"/>
      <c r="G230" s="177"/>
      <c r="H230" s="177"/>
      <c r="I230" s="374"/>
      <c r="K230" s="177"/>
      <c r="L230" s="177"/>
      <c r="M230" s="511">
        <f t="shared" si="29"/>
        <v>0</v>
      </c>
    </row>
    <row r="231" spans="1:13" ht="14.25" customHeight="1">
      <c r="A231" s="137"/>
      <c r="B231" s="23">
        <v>412000</v>
      </c>
      <c r="C231" s="33"/>
      <c r="D231" s="32" t="s">
        <v>142</v>
      </c>
      <c r="E231" s="357">
        <f>SUM(E232:E236)</f>
        <v>37400</v>
      </c>
      <c r="F231" s="357">
        <f>SUM(F232:F236)</f>
        <v>-5000</v>
      </c>
      <c r="G231" s="357">
        <f>SUM(G232:G236)</f>
        <v>32400</v>
      </c>
      <c r="H231" s="357">
        <f aca="true" t="shared" si="30" ref="H231:H237">IF(E231&gt;0,G231/E231*100,0)</f>
        <v>86.63101604278076</v>
      </c>
      <c r="I231" s="356">
        <f aca="true" t="shared" si="31" ref="I231:I237">G231/$G$502*100</f>
        <v>0.13970889409673434</v>
      </c>
      <c r="K231" s="357">
        <f>SUM(K232:K236)</f>
        <v>32400</v>
      </c>
      <c r="L231" s="357">
        <f>SUM(L232:L236)</f>
        <v>35810</v>
      </c>
      <c r="M231" s="511">
        <f t="shared" si="29"/>
        <v>-3410</v>
      </c>
    </row>
    <row r="232" spans="1:13" ht="15.75" customHeight="1">
      <c r="A232" s="137" t="s">
        <v>37</v>
      </c>
      <c r="B232" s="23"/>
      <c r="C232" s="17">
        <v>412700</v>
      </c>
      <c r="D232" s="43" t="s">
        <v>109</v>
      </c>
      <c r="E232" s="197">
        <v>10000</v>
      </c>
      <c r="F232" s="197">
        <f>G232-E232</f>
        <v>0</v>
      </c>
      <c r="G232" s="197">
        <v>10000</v>
      </c>
      <c r="H232" s="207">
        <f t="shared" si="30"/>
        <v>100</v>
      </c>
      <c r="I232" s="288">
        <f t="shared" si="31"/>
        <v>0.04312002904220196</v>
      </c>
      <c r="K232" s="197">
        <v>10000</v>
      </c>
      <c r="L232" s="197">
        <v>10000</v>
      </c>
      <c r="M232" s="511">
        <f t="shared" si="29"/>
        <v>0</v>
      </c>
    </row>
    <row r="233" spans="1:13" ht="16.5" customHeight="1">
      <c r="A233" s="41" t="s">
        <v>37</v>
      </c>
      <c r="B233" s="42"/>
      <c r="C233" s="37">
        <v>412700</v>
      </c>
      <c r="D233" s="43" t="s">
        <v>129</v>
      </c>
      <c r="E233" s="197">
        <v>2000</v>
      </c>
      <c r="F233" s="197">
        <f>G233-E233</f>
        <v>0</v>
      </c>
      <c r="G233" s="197">
        <v>2000</v>
      </c>
      <c r="H233" s="207">
        <f t="shared" si="30"/>
        <v>100</v>
      </c>
      <c r="I233" s="288">
        <f t="shared" si="31"/>
        <v>0.008624005808440392</v>
      </c>
      <c r="K233" s="197">
        <v>2000</v>
      </c>
      <c r="L233" s="197">
        <v>2000</v>
      </c>
      <c r="M233" s="511">
        <f t="shared" si="29"/>
        <v>0</v>
      </c>
    </row>
    <row r="234" spans="1:13" ht="24.75" customHeight="1">
      <c r="A234" s="41" t="s">
        <v>37</v>
      </c>
      <c r="B234" s="42"/>
      <c r="C234" s="38">
        <v>412700</v>
      </c>
      <c r="D234" s="34" t="s">
        <v>207</v>
      </c>
      <c r="E234" s="196">
        <v>15000</v>
      </c>
      <c r="F234" s="196">
        <f>G234-E234</f>
        <v>0</v>
      </c>
      <c r="G234" s="196">
        <v>15000</v>
      </c>
      <c r="H234" s="207">
        <f t="shared" si="30"/>
        <v>100</v>
      </c>
      <c r="I234" s="288">
        <f t="shared" si="31"/>
        <v>0.06468004356330294</v>
      </c>
      <c r="K234" s="196">
        <v>15000</v>
      </c>
      <c r="L234" s="196">
        <v>15000</v>
      </c>
      <c r="M234" s="511">
        <f t="shared" si="29"/>
        <v>0</v>
      </c>
    </row>
    <row r="235" spans="1:13" ht="24.75" customHeight="1">
      <c r="A235" s="40" t="s">
        <v>185</v>
      </c>
      <c r="B235" s="33"/>
      <c r="C235" s="38">
        <v>412700</v>
      </c>
      <c r="D235" s="34" t="s">
        <v>330</v>
      </c>
      <c r="E235" s="196">
        <v>10000</v>
      </c>
      <c r="F235" s="196">
        <f>G235-E235</f>
        <v>-5000</v>
      </c>
      <c r="G235" s="196">
        <v>5000</v>
      </c>
      <c r="H235" s="207">
        <f t="shared" si="30"/>
        <v>50</v>
      </c>
      <c r="I235" s="288">
        <f t="shared" si="31"/>
        <v>0.02156001452110098</v>
      </c>
      <c r="K235" s="196">
        <v>5000</v>
      </c>
      <c r="L235" s="196">
        <v>8410</v>
      </c>
      <c r="M235" s="517">
        <f t="shared" si="29"/>
        <v>-3410</v>
      </c>
    </row>
    <row r="236" spans="1:13" ht="12.75" customHeight="1">
      <c r="A236" s="137" t="s">
        <v>27</v>
      </c>
      <c r="B236" s="33"/>
      <c r="C236" s="17">
        <v>412900</v>
      </c>
      <c r="D236" s="30" t="s">
        <v>48</v>
      </c>
      <c r="E236" s="197">
        <v>400</v>
      </c>
      <c r="F236" s="197">
        <f>G236-E236</f>
        <v>0</v>
      </c>
      <c r="G236" s="197">
        <v>400</v>
      </c>
      <c r="H236" s="207">
        <f t="shared" si="30"/>
        <v>100</v>
      </c>
      <c r="I236" s="288">
        <f t="shared" si="31"/>
        <v>0.0017248011616880785</v>
      </c>
      <c r="K236" s="197">
        <v>400</v>
      </c>
      <c r="L236" s="197">
        <v>400</v>
      </c>
      <c r="M236" s="511">
        <f t="shared" si="29"/>
        <v>0</v>
      </c>
    </row>
    <row r="237" spans="1:13" ht="25.5" customHeight="1">
      <c r="A237" s="548"/>
      <c r="B237" s="549"/>
      <c r="C237" s="550" t="s">
        <v>89</v>
      </c>
      <c r="D237" s="550"/>
      <c r="E237" s="347">
        <f>E231</f>
        <v>37400</v>
      </c>
      <c r="F237" s="347">
        <f>F231</f>
        <v>-5000</v>
      </c>
      <c r="G237" s="347">
        <f>G231</f>
        <v>32400</v>
      </c>
      <c r="H237" s="348">
        <f t="shared" si="30"/>
        <v>86.63101604278076</v>
      </c>
      <c r="I237" s="354">
        <f t="shared" si="31"/>
        <v>0.13970889409673434</v>
      </c>
      <c r="K237" s="347">
        <f>K231</f>
        <v>32400</v>
      </c>
      <c r="L237" s="347">
        <f>L231</f>
        <v>35810</v>
      </c>
      <c r="M237" s="511">
        <f t="shared" si="29"/>
        <v>-3410</v>
      </c>
    </row>
    <row r="238" spans="1:13" ht="9.75" customHeight="1">
      <c r="A238" s="556"/>
      <c r="B238" s="557"/>
      <c r="C238" s="560" t="s">
        <v>236</v>
      </c>
      <c r="D238" s="561"/>
      <c r="E238" s="175"/>
      <c r="F238" s="175"/>
      <c r="G238" s="175"/>
      <c r="H238" s="175"/>
      <c r="I238" s="372"/>
      <c r="K238" s="175"/>
      <c r="L238" s="175"/>
      <c r="M238" s="511">
        <f t="shared" si="29"/>
        <v>0</v>
      </c>
    </row>
    <row r="239" spans="1:13" ht="9.75" customHeight="1">
      <c r="A239" s="556"/>
      <c r="B239" s="557"/>
      <c r="C239" s="562"/>
      <c r="D239" s="561"/>
      <c r="E239" s="176"/>
      <c r="F239" s="176"/>
      <c r="G239" s="176"/>
      <c r="H239" s="176"/>
      <c r="I239" s="373"/>
      <c r="K239" s="176"/>
      <c r="L239" s="176"/>
      <c r="M239" s="511">
        <f t="shared" si="29"/>
        <v>0</v>
      </c>
    </row>
    <row r="240" spans="1:13" ht="30" customHeight="1">
      <c r="A240" s="556"/>
      <c r="B240" s="557"/>
      <c r="C240" s="562"/>
      <c r="D240" s="561"/>
      <c r="E240" s="177"/>
      <c r="F240" s="177"/>
      <c r="G240" s="177"/>
      <c r="H240" s="177"/>
      <c r="I240" s="374"/>
      <c r="K240" s="177"/>
      <c r="L240" s="177"/>
      <c r="M240" s="511">
        <f t="shared" si="29"/>
        <v>0</v>
      </c>
    </row>
    <row r="241" spans="1:13" ht="14.25" customHeight="1">
      <c r="A241" s="137"/>
      <c r="B241" s="23">
        <v>412000</v>
      </c>
      <c r="C241" s="17"/>
      <c r="D241" s="32" t="s">
        <v>142</v>
      </c>
      <c r="E241" s="357">
        <f>SUM(E242:E245)</f>
        <v>52400</v>
      </c>
      <c r="F241" s="357">
        <f>SUM(F242:F245)</f>
        <v>1000</v>
      </c>
      <c r="G241" s="357">
        <f>SUM(G242:G245)</f>
        <v>53400</v>
      </c>
      <c r="H241" s="357">
        <f aca="true" t="shared" si="32" ref="H241:H260">IF(E241&gt;0,G241/E241*100,0)</f>
        <v>101.90839694656488</v>
      </c>
      <c r="I241" s="358">
        <f aca="true" t="shared" si="33" ref="I241:I260">G241/$G$502*100</f>
        <v>0.23026095508535846</v>
      </c>
      <c r="K241" s="357">
        <f>SUM(K242:K245)</f>
        <v>53400</v>
      </c>
      <c r="L241" s="357">
        <f>SUM(L242:L245)</f>
        <v>53400</v>
      </c>
      <c r="M241" s="511">
        <f t="shared" si="29"/>
        <v>0</v>
      </c>
    </row>
    <row r="242" spans="1:13" ht="12.75">
      <c r="A242" s="40" t="s">
        <v>50</v>
      </c>
      <c r="B242" s="33"/>
      <c r="C242" s="38">
        <v>412700</v>
      </c>
      <c r="D242" s="33" t="s">
        <v>49</v>
      </c>
      <c r="E242" s="196">
        <v>2000</v>
      </c>
      <c r="F242" s="196">
        <f aca="true" t="shared" si="34" ref="F242:F259">G242-E242</f>
        <v>0</v>
      </c>
      <c r="G242" s="196">
        <v>2000</v>
      </c>
      <c r="H242" s="207">
        <f t="shared" si="32"/>
        <v>100</v>
      </c>
      <c r="I242" s="318">
        <f t="shared" si="33"/>
        <v>0.008624005808440392</v>
      </c>
      <c r="K242" s="196">
        <v>2000</v>
      </c>
      <c r="L242" s="196">
        <v>2000</v>
      </c>
      <c r="M242" s="511">
        <f t="shared" si="29"/>
        <v>0</v>
      </c>
    </row>
    <row r="243" spans="1:13" ht="12.75">
      <c r="A243" s="137" t="s">
        <v>50</v>
      </c>
      <c r="B243" s="33"/>
      <c r="C243" s="38">
        <v>412700</v>
      </c>
      <c r="D243" s="30" t="s">
        <v>110</v>
      </c>
      <c r="E243" s="196">
        <v>50000</v>
      </c>
      <c r="F243" s="196">
        <f t="shared" si="34"/>
        <v>1000</v>
      </c>
      <c r="G243" s="196">
        <v>51000</v>
      </c>
      <c r="H243" s="207">
        <f t="shared" si="32"/>
        <v>102</v>
      </c>
      <c r="I243" s="318">
        <f t="shared" si="33"/>
        <v>0.21991214811523</v>
      </c>
      <c r="K243" s="196">
        <v>51000</v>
      </c>
      <c r="L243" s="196">
        <v>51000</v>
      </c>
      <c r="M243" s="511">
        <f t="shared" si="29"/>
        <v>0</v>
      </c>
    </row>
    <row r="244" spans="1:13" ht="12.75" hidden="1">
      <c r="A244" s="137" t="s">
        <v>349</v>
      </c>
      <c r="B244" s="33"/>
      <c r="C244" s="38">
        <v>412700</v>
      </c>
      <c r="D244" s="30" t="s">
        <v>354</v>
      </c>
      <c r="E244" s="196"/>
      <c r="F244" s="196">
        <f t="shared" si="34"/>
        <v>0</v>
      </c>
      <c r="G244" s="196"/>
      <c r="H244" s="207">
        <f t="shared" si="32"/>
        <v>0</v>
      </c>
      <c r="I244" s="318">
        <f t="shared" si="33"/>
        <v>0</v>
      </c>
      <c r="K244" s="196"/>
      <c r="L244" s="196"/>
      <c r="M244" s="511">
        <f t="shared" si="29"/>
        <v>0</v>
      </c>
    </row>
    <row r="245" spans="1:13" ht="12.75">
      <c r="A245" s="137" t="s">
        <v>27</v>
      </c>
      <c r="B245" s="33"/>
      <c r="C245" s="17">
        <v>412900</v>
      </c>
      <c r="D245" s="47" t="s">
        <v>0</v>
      </c>
      <c r="E245" s="196">
        <v>400</v>
      </c>
      <c r="F245" s="196">
        <f t="shared" si="34"/>
        <v>0</v>
      </c>
      <c r="G245" s="196">
        <v>400</v>
      </c>
      <c r="H245" s="207">
        <f t="shared" si="32"/>
        <v>100</v>
      </c>
      <c r="I245" s="318">
        <f t="shared" si="33"/>
        <v>0.0017248011616880785</v>
      </c>
      <c r="K245" s="196">
        <v>400</v>
      </c>
      <c r="L245" s="196">
        <v>400</v>
      </c>
      <c r="M245" s="511">
        <f t="shared" si="29"/>
        <v>0</v>
      </c>
    </row>
    <row r="246" spans="1:13" ht="14.25" customHeight="1">
      <c r="A246" s="137"/>
      <c r="B246" s="76">
        <v>414000</v>
      </c>
      <c r="C246" s="38"/>
      <c r="D246" s="105" t="s">
        <v>197</v>
      </c>
      <c r="E246" s="187">
        <f>SUM(E247)</f>
        <v>410000</v>
      </c>
      <c r="F246" s="187">
        <f>SUM(F247)</f>
        <v>0</v>
      </c>
      <c r="G246" s="187">
        <f>SUM(G247)</f>
        <v>410000</v>
      </c>
      <c r="H246" s="187">
        <f t="shared" si="32"/>
        <v>100</v>
      </c>
      <c r="I246" s="315">
        <f t="shared" si="33"/>
        <v>1.7679211907302803</v>
      </c>
      <c r="K246" s="187">
        <f>SUM(K247)</f>
        <v>410000</v>
      </c>
      <c r="L246" s="187">
        <f>SUM(L247)</f>
        <v>410000</v>
      </c>
      <c r="M246" s="511">
        <f t="shared" si="29"/>
        <v>0</v>
      </c>
    </row>
    <row r="247" spans="1:13" ht="12.75">
      <c r="A247" s="137" t="s">
        <v>50</v>
      </c>
      <c r="B247" s="33"/>
      <c r="C247" s="38">
        <v>414100</v>
      </c>
      <c r="D247" s="39" t="s">
        <v>199</v>
      </c>
      <c r="E247" s="196">
        <v>410000</v>
      </c>
      <c r="F247" s="196">
        <f t="shared" si="34"/>
        <v>0</v>
      </c>
      <c r="G247" s="196">
        <v>410000</v>
      </c>
      <c r="H247" s="207">
        <f t="shared" si="32"/>
        <v>100</v>
      </c>
      <c r="I247" s="318">
        <f t="shared" si="33"/>
        <v>1.7679211907302803</v>
      </c>
      <c r="K247" s="196">
        <v>410000</v>
      </c>
      <c r="L247" s="196">
        <v>410000</v>
      </c>
      <c r="M247" s="511">
        <f t="shared" si="29"/>
        <v>0</v>
      </c>
    </row>
    <row r="248" spans="1:13" ht="12.75" hidden="1">
      <c r="A248" s="137" t="s">
        <v>50</v>
      </c>
      <c r="B248" s="33"/>
      <c r="C248" s="38">
        <v>415200</v>
      </c>
      <c r="D248" s="39" t="s">
        <v>372</v>
      </c>
      <c r="E248" s="196"/>
      <c r="F248" s="196">
        <f t="shared" si="34"/>
        <v>0</v>
      </c>
      <c r="G248" s="196"/>
      <c r="H248" s="207">
        <f t="shared" si="32"/>
        <v>0</v>
      </c>
      <c r="I248" s="318">
        <f t="shared" si="33"/>
        <v>0</v>
      </c>
      <c r="K248" s="196"/>
      <c r="L248" s="196"/>
      <c r="M248" s="511">
        <f t="shared" si="29"/>
        <v>0</v>
      </c>
    </row>
    <row r="249" spans="1:13" ht="14.25" customHeight="1">
      <c r="A249" s="137"/>
      <c r="B249" s="23">
        <v>416000</v>
      </c>
      <c r="C249" s="38"/>
      <c r="D249" s="32" t="s">
        <v>1</v>
      </c>
      <c r="E249" s="250">
        <f>SUM(E250:E250)</f>
        <v>10000</v>
      </c>
      <c r="F249" s="250">
        <f>SUM(F250:F250)</f>
        <v>-1000</v>
      </c>
      <c r="G249" s="250">
        <f>SUM(G250:G250)</f>
        <v>9000</v>
      </c>
      <c r="H249" s="187">
        <f t="shared" si="32"/>
        <v>90</v>
      </c>
      <c r="I249" s="315">
        <f t="shared" si="33"/>
        <v>0.03880802613798177</v>
      </c>
      <c r="K249" s="250">
        <f>SUM(K250:K250)</f>
        <v>9000</v>
      </c>
      <c r="L249" s="250">
        <f>SUM(L250:L250)</f>
        <v>9000</v>
      </c>
      <c r="M249" s="511">
        <f t="shared" si="29"/>
        <v>0</v>
      </c>
    </row>
    <row r="250" spans="1:13" ht="12.75">
      <c r="A250" s="137" t="s">
        <v>50</v>
      </c>
      <c r="B250" s="33"/>
      <c r="C250" s="37">
        <v>416100</v>
      </c>
      <c r="D250" s="30" t="s">
        <v>203</v>
      </c>
      <c r="E250" s="196">
        <v>10000</v>
      </c>
      <c r="F250" s="196">
        <f t="shared" si="34"/>
        <v>-1000</v>
      </c>
      <c r="G250" s="196">
        <v>9000</v>
      </c>
      <c r="H250" s="207">
        <f t="shared" si="32"/>
        <v>90</v>
      </c>
      <c r="I250" s="318">
        <f t="shared" si="33"/>
        <v>0.03880802613798177</v>
      </c>
      <c r="J250" s="466"/>
      <c r="K250" s="196">
        <v>9000</v>
      </c>
      <c r="L250" s="196">
        <v>9000</v>
      </c>
      <c r="M250" s="511">
        <f t="shared" si="29"/>
        <v>0</v>
      </c>
    </row>
    <row r="251" spans="1:13" ht="24">
      <c r="A251" s="137"/>
      <c r="B251" s="33"/>
      <c r="C251" s="37"/>
      <c r="D251" s="32" t="s">
        <v>381</v>
      </c>
      <c r="E251" s="72">
        <f>SUM(E252:E253)</f>
        <v>410000</v>
      </c>
      <c r="F251" s="72">
        <f>SUM(F252:F253)</f>
        <v>-40000</v>
      </c>
      <c r="G251" s="72">
        <f>SUM(G252:G253)</f>
        <v>370000</v>
      </c>
      <c r="H251" s="187">
        <f t="shared" si="32"/>
        <v>90.2439024390244</v>
      </c>
      <c r="I251" s="315">
        <f t="shared" si="33"/>
        <v>1.5954410745614724</v>
      </c>
      <c r="K251" s="72">
        <f>SUM(K252:K253)</f>
        <v>370000</v>
      </c>
      <c r="L251" s="72">
        <f>SUM(L252:L253)</f>
        <v>370000</v>
      </c>
      <c r="M251" s="511">
        <f t="shared" si="29"/>
        <v>0</v>
      </c>
    </row>
    <row r="252" spans="1:13" ht="24">
      <c r="A252" s="137" t="s">
        <v>44</v>
      </c>
      <c r="B252" s="33"/>
      <c r="C252" s="37">
        <v>412500</v>
      </c>
      <c r="D252" s="30" t="s">
        <v>382</v>
      </c>
      <c r="E252" s="196">
        <v>70000</v>
      </c>
      <c r="F252" s="196">
        <f t="shared" si="34"/>
        <v>-10000</v>
      </c>
      <c r="G252" s="196">
        <v>60000</v>
      </c>
      <c r="H252" s="207">
        <f t="shared" si="32"/>
        <v>85.71428571428571</v>
      </c>
      <c r="I252" s="318">
        <f t="shared" si="33"/>
        <v>0.25872017425321175</v>
      </c>
      <c r="K252" s="196">
        <v>60000</v>
      </c>
      <c r="L252" s="196">
        <v>60000</v>
      </c>
      <c r="M252" s="511">
        <f t="shared" si="29"/>
        <v>0</v>
      </c>
    </row>
    <row r="253" spans="1:13" ht="27" customHeight="1">
      <c r="A253" s="137" t="s">
        <v>44</v>
      </c>
      <c r="B253" s="33"/>
      <c r="C253" s="37">
        <v>511200</v>
      </c>
      <c r="D253" s="30" t="s">
        <v>408</v>
      </c>
      <c r="E253" s="196">
        <v>340000</v>
      </c>
      <c r="F253" s="196">
        <f t="shared" si="34"/>
        <v>-30000</v>
      </c>
      <c r="G253" s="196">
        <v>310000</v>
      </c>
      <c r="H253" s="207">
        <f t="shared" si="32"/>
        <v>91.17647058823529</v>
      </c>
      <c r="I253" s="318">
        <f t="shared" si="33"/>
        <v>1.336720900308261</v>
      </c>
      <c r="K253" s="196">
        <v>310000</v>
      </c>
      <c r="L253" s="196">
        <v>310000</v>
      </c>
      <c r="M253" s="511">
        <f t="shared" si="29"/>
        <v>0</v>
      </c>
    </row>
    <row r="254" spans="1:13" ht="26.25" customHeight="1">
      <c r="A254" s="137"/>
      <c r="B254" s="33"/>
      <c r="C254" s="88"/>
      <c r="D254" s="59" t="s">
        <v>126</v>
      </c>
      <c r="E254" s="187">
        <f>SUM(E255:E259)</f>
        <v>290000</v>
      </c>
      <c r="F254" s="187">
        <f>SUM(F255:F259)</f>
        <v>0</v>
      </c>
      <c r="G254" s="187">
        <f>SUM(G255:G259)</f>
        <v>290000</v>
      </c>
      <c r="H254" s="187">
        <f t="shared" si="32"/>
        <v>100</v>
      </c>
      <c r="I254" s="315">
        <f t="shared" si="33"/>
        <v>1.2504808422238567</v>
      </c>
      <c r="K254" s="187">
        <f>SUM(K255:K259)</f>
        <v>290000</v>
      </c>
      <c r="L254" s="187">
        <f>SUM(L255:L259)</f>
        <v>290000</v>
      </c>
      <c r="M254" s="511">
        <f t="shared" si="29"/>
        <v>0</v>
      </c>
    </row>
    <row r="255" spans="1:13" ht="22.5" customHeight="1">
      <c r="A255" s="40" t="s">
        <v>184</v>
      </c>
      <c r="B255" s="33"/>
      <c r="C255" s="38">
        <v>412700</v>
      </c>
      <c r="D255" s="49" t="s">
        <v>127</v>
      </c>
      <c r="E255" s="196">
        <v>10000</v>
      </c>
      <c r="F255" s="196">
        <f t="shared" si="34"/>
        <v>0</v>
      </c>
      <c r="G255" s="196">
        <v>10000</v>
      </c>
      <c r="H255" s="207">
        <f t="shared" si="32"/>
        <v>100</v>
      </c>
      <c r="I255" s="318">
        <f t="shared" si="33"/>
        <v>0.04312002904220196</v>
      </c>
      <c r="K255" s="196">
        <v>10000</v>
      </c>
      <c r="L255" s="196">
        <v>10000</v>
      </c>
      <c r="M255" s="511">
        <f t="shared" si="29"/>
        <v>0</v>
      </c>
    </row>
    <row r="256" spans="1:13" ht="19.5" customHeight="1">
      <c r="A256" s="40" t="s">
        <v>50</v>
      </c>
      <c r="B256" s="33"/>
      <c r="C256" s="37">
        <v>412800</v>
      </c>
      <c r="D256" s="49" t="s">
        <v>326</v>
      </c>
      <c r="E256" s="196">
        <v>40000</v>
      </c>
      <c r="F256" s="196">
        <f t="shared" si="34"/>
        <v>-25000</v>
      </c>
      <c r="G256" s="196">
        <v>15000</v>
      </c>
      <c r="H256" s="207">
        <f t="shared" si="32"/>
        <v>37.5</v>
      </c>
      <c r="I256" s="318">
        <f t="shared" si="33"/>
        <v>0.06468004356330294</v>
      </c>
      <c r="K256" s="196">
        <v>15000</v>
      </c>
      <c r="L256" s="196">
        <v>40000</v>
      </c>
      <c r="M256" s="511">
        <f t="shared" si="29"/>
        <v>-25000</v>
      </c>
    </row>
    <row r="257" spans="1:13" ht="15" customHeight="1">
      <c r="A257" s="40" t="s">
        <v>182</v>
      </c>
      <c r="B257" s="33"/>
      <c r="C257" s="37">
        <v>415200</v>
      </c>
      <c r="D257" s="63" t="s">
        <v>503</v>
      </c>
      <c r="E257" s="196">
        <v>75000</v>
      </c>
      <c r="F257" s="196">
        <f t="shared" si="34"/>
        <v>0</v>
      </c>
      <c r="G257" s="196">
        <v>75000</v>
      </c>
      <c r="H257" s="207">
        <f t="shared" si="32"/>
        <v>100</v>
      </c>
      <c r="I257" s="318">
        <f t="shared" si="33"/>
        <v>0.3234002178165147</v>
      </c>
      <c r="K257" s="196">
        <v>75000</v>
      </c>
      <c r="L257" s="196">
        <v>75000</v>
      </c>
      <c r="M257" s="511">
        <f t="shared" si="29"/>
        <v>0</v>
      </c>
    </row>
    <row r="258" spans="1:13" ht="26.25" customHeight="1" hidden="1">
      <c r="A258" s="40" t="s">
        <v>50</v>
      </c>
      <c r="B258" s="33"/>
      <c r="C258" s="37">
        <v>511100</v>
      </c>
      <c r="D258" s="95" t="s">
        <v>296</v>
      </c>
      <c r="E258" s="196">
        <v>0</v>
      </c>
      <c r="F258" s="196">
        <f t="shared" si="34"/>
        <v>0</v>
      </c>
      <c r="G258" s="196">
        <v>0</v>
      </c>
      <c r="H258" s="207">
        <f t="shared" si="32"/>
        <v>0</v>
      </c>
      <c r="I258" s="318">
        <f t="shared" si="33"/>
        <v>0</v>
      </c>
      <c r="K258" s="196"/>
      <c r="L258" s="196">
        <v>0</v>
      </c>
      <c r="M258" s="511">
        <f t="shared" si="29"/>
        <v>0</v>
      </c>
    </row>
    <row r="259" spans="1:13" ht="33" customHeight="1">
      <c r="A259" s="40" t="s">
        <v>182</v>
      </c>
      <c r="B259" s="33"/>
      <c r="C259" s="37">
        <v>511200</v>
      </c>
      <c r="D259" s="95" t="s">
        <v>284</v>
      </c>
      <c r="E259" s="196">
        <v>165000</v>
      </c>
      <c r="F259" s="196">
        <f t="shared" si="34"/>
        <v>25000</v>
      </c>
      <c r="G259" s="196">
        <v>190000</v>
      </c>
      <c r="H259" s="207">
        <f t="shared" si="32"/>
        <v>115.15151515151516</v>
      </c>
      <c r="I259" s="318">
        <f t="shared" si="33"/>
        <v>0.8192805518018372</v>
      </c>
      <c r="K259" s="196">
        <v>190000</v>
      </c>
      <c r="L259" s="196">
        <v>165000</v>
      </c>
      <c r="M259" s="511">
        <f t="shared" si="29"/>
        <v>25000</v>
      </c>
    </row>
    <row r="260" spans="1:13" ht="24.75" customHeight="1">
      <c r="A260" s="548"/>
      <c r="B260" s="549"/>
      <c r="C260" s="550" t="s">
        <v>90</v>
      </c>
      <c r="D260" s="550"/>
      <c r="E260" s="347">
        <f>E241+E246+E249+E251+E254</f>
        <v>1172400</v>
      </c>
      <c r="F260" s="347">
        <f>F241+F246+F249+F251+F254</f>
        <v>-40000</v>
      </c>
      <c r="G260" s="347">
        <f>G241+G246+G249+G251+G254</f>
        <v>1132400</v>
      </c>
      <c r="H260" s="348">
        <f t="shared" si="32"/>
        <v>96.58819515523712</v>
      </c>
      <c r="I260" s="349">
        <f t="shared" si="33"/>
        <v>4.88291208873895</v>
      </c>
      <c r="K260" s="347">
        <f>K241+K246+K249+K251+K254</f>
        <v>1132400</v>
      </c>
      <c r="L260" s="347">
        <f>L241+L246+L249+L251+L254</f>
        <v>1132400</v>
      </c>
      <c r="M260" s="511">
        <f t="shared" si="29"/>
        <v>0</v>
      </c>
    </row>
    <row r="261" spans="1:13" ht="21.75" customHeight="1">
      <c r="A261" s="548"/>
      <c r="B261" s="549"/>
      <c r="C261" s="560" t="s">
        <v>504</v>
      </c>
      <c r="D261" s="561"/>
      <c r="E261" s="175"/>
      <c r="F261" s="175"/>
      <c r="G261" s="175"/>
      <c r="H261" s="175"/>
      <c r="I261" s="372"/>
      <c r="K261" s="175"/>
      <c r="L261" s="175"/>
      <c r="M261" s="511">
        <f t="shared" si="29"/>
        <v>0</v>
      </c>
    </row>
    <row r="262" spans="1:13" ht="12.75" customHeight="1">
      <c r="A262" s="548"/>
      <c r="B262" s="549"/>
      <c r="C262" s="562"/>
      <c r="D262" s="561"/>
      <c r="E262" s="177"/>
      <c r="F262" s="177"/>
      <c r="G262" s="177"/>
      <c r="H262" s="177"/>
      <c r="I262" s="374"/>
      <c r="K262" s="177"/>
      <c r="L262" s="177"/>
      <c r="M262" s="511">
        <f t="shared" si="29"/>
        <v>0</v>
      </c>
    </row>
    <row r="263" spans="1:13" ht="14.25" customHeight="1">
      <c r="A263" s="137"/>
      <c r="B263" s="23">
        <v>412000</v>
      </c>
      <c r="C263" s="17"/>
      <c r="D263" s="32" t="s">
        <v>142</v>
      </c>
      <c r="E263" s="357">
        <f>SUM(E264:E273)</f>
        <v>366000</v>
      </c>
      <c r="F263" s="357">
        <f>SUM(F264:F273)</f>
        <v>5364</v>
      </c>
      <c r="G263" s="357">
        <f>SUM(G264:G273)</f>
        <v>371364</v>
      </c>
      <c r="H263" s="357">
        <f aca="true" t="shared" si="35" ref="H263:H279">IF(E263&gt;0,G263/E263*100,0)</f>
        <v>101.46557377049182</v>
      </c>
      <c r="I263" s="358">
        <f aca="true" t="shared" si="36" ref="I263:I279">G263/$G$502*100</f>
        <v>1.6013226465228287</v>
      </c>
      <c r="K263" s="357">
        <f>SUM(K264:K273)</f>
        <v>371364</v>
      </c>
      <c r="L263" s="357">
        <f>SUM(L264:L273)</f>
        <v>371364</v>
      </c>
      <c r="M263" s="511">
        <f t="shared" si="29"/>
        <v>0</v>
      </c>
    </row>
    <row r="264" spans="1:13" ht="24.75" customHeight="1">
      <c r="A264" s="137" t="s">
        <v>27</v>
      </c>
      <c r="B264" s="33"/>
      <c r="C264" s="17">
        <v>412200</v>
      </c>
      <c r="D264" s="30" t="s">
        <v>144</v>
      </c>
      <c r="E264" s="196">
        <v>220000</v>
      </c>
      <c r="F264" s="196">
        <f aca="true" t="shared" si="37" ref="F264:F278">G264-E264</f>
        <v>0</v>
      </c>
      <c r="G264" s="196">
        <v>220000</v>
      </c>
      <c r="H264" s="207">
        <f t="shared" si="35"/>
        <v>100</v>
      </c>
      <c r="I264" s="318">
        <f t="shared" si="36"/>
        <v>0.9486406389284432</v>
      </c>
      <c r="K264" s="196">
        <v>220000</v>
      </c>
      <c r="L264" s="196">
        <v>220000</v>
      </c>
      <c r="M264" s="511">
        <f t="shared" si="29"/>
        <v>0</v>
      </c>
    </row>
    <row r="265" spans="1:13" ht="12.75" customHeight="1">
      <c r="A265" s="137" t="s">
        <v>27</v>
      </c>
      <c r="B265" s="33"/>
      <c r="C265" s="17">
        <v>412300</v>
      </c>
      <c r="D265" s="33" t="s">
        <v>145</v>
      </c>
      <c r="E265" s="196">
        <v>55000</v>
      </c>
      <c r="F265" s="196">
        <f t="shared" si="37"/>
        <v>0</v>
      </c>
      <c r="G265" s="196">
        <v>55000</v>
      </c>
      <c r="H265" s="207">
        <f t="shared" si="35"/>
        <v>100</v>
      </c>
      <c r="I265" s="318">
        <f t="shared" si="36"/>
        <v>0.2371601597321108</v>
      </c>
      <c r="K265" s="196">
        <v>55000</v>
      </c>
      <c r="L265" s="196">
        <v>55000</v>
      </c>
      <c r="M265" s="511">
        <f t="shared" si="29"/>
        <v>0</v>
      </c>
    </row>
    <row r="266" spans="1:13" ht="12.75" customHeight="1">
      <c r="A266" s="137" t="s">
        <v>27</v>
      </c>
      <c r="B266" s="33"/>
      <c r="C266" s="17">
        <v>412500</v>
      </c>
      <c r="D266" s="33" t="s">
        <v>25</v>
      </c>
      <c r="E266" s="196">
        <v>25000</v>
      </c>
      <c r="F266" s="196">
        <f t="shared" si="37"/>
        <v>0</v>
      </c>
      <c r="G266" s="196">
        <v>25000</v>
      </c>
      <c r="H266" s="207">
        <f t="shared" si="35"/>
        <v>100</v>
      </c>
      <c r="I266" s="318">
        <f t="shared" si="36"/>
        <v>0.10780007260550489</v>
      </c>
      <c r="K266" s="196">
        <v>25000</v>
      </c>
      <c r="L266" s="196">
        <v>25000</v>
      </c>
      <c r="M266" s="511">
        <f t="shared" si="29"/>
        <v>0</v>
      </c>
    </row>
    <row r="267" spans="1:13" ht="13.5" customHeight="1">
      <c r="A267" s="137" t="s">
        <v>27</v>
      </c>
      <c r="B267" s="33"/>
      <c r="C267" s="17">
        <v>412600</v>
      </c>
      <c r="D267" s="30" t="s">
        <v>423</v>
      </c>
      <c r="E267" s="196">
        <v>5000</v>
      </c>
      <c r="F267" s="196">
        <f t="shared" si="37"/>
        <v>0</v>
      </c>
      <c r="G267" s="196">
        <v>5000</v>
      </c>
      <c r="H267" s="207">
        <f t="shared" si="35"/>
        <v>100</v>
      </c>
      <c r="I267" s="318">
        <f t="shared" si="36"/>
        <v>0.02156001452110098</v>
      </c>
      <c r="K267" s="196">
        <v>5000</v>
      </c>
      <c r="L267" s="196">
        <v>5000</v>
      </c>
      <c r="M267" s="511">
        <f t="shared" si="29"/>
        <v>0</v>
      </c>
    </row>
    <row r="268" spans="1:13" ht="12.75" customHeight="1">
      <c r="A268" s="137" t="s">
        <v>27</v>
      </c>
      <c r="B268" s="33"/>
      <c r="C268" s="17">
        <v>412700</v>
      </c>
      <c r="D268" s="30" t="s">
        <v>320</v>
      </c>
      <c r="E268" s="184">
        <v>55000</v>
      </c>
      <c r="F268" s="184">
        <f t="shared" si="37"/>
        <v>0</v>
      </c>
      <c r="G268" s="184">
        <v>55000</v>
      </c>
      <c r="H268" s="207">
        <f t="shared" si="35"/>
        <v>100</v>
      </c>
      <c r="I268" s="318">
        <f t="shared" si="36"/>
        <v>0.2371601597321108</v>
      </c>
      <c r="K268" s="184">
        <v>55000</v>
      </c>
      <c r="L268" s="184">
        <v>55000</v>
      </c>
      <c r="M268" s="511">
        <f t="shared" si="29"/>
        <v>0</v>
      </c>
    </row>
    <row r="269" spans="1:13" ht="12.75" customHeight="1" hidden="1">
      <c r="A269" s="137" t="s">
        <v>27</v>
      </c>
      <c r="B269" s="33"/>
      <c r="C269" s="17">
        <v>412900</v>
      </c>
      <c r="D269" s="30" t="s">
        <v>28</v>
      </c>
      <c r="E269" s="196">
        <v>0</v>
      </c>
      <c r="F269" s="196">
        <f t="shared" si="37"/>
        <v>0</v>
      </c>
      <c r="G269" s="196">
        <v>0</v>
      </c>
      <c r="H269" s="207">
        <f t="shared" si="35"/>
        <v>0</v>
      </c>
      <c r="I269" s="318">
        <f t="shared" si="36"/>
        <v>0</v>
      </c>
      <c r="K269" s="196"/>
      <c r="L269" s="196">
        <v>0</v>
      </c>
      <c r="M269" s="511">
        <f aca="true" t="shared" si="38" ref="M269:M333">G269-L269</f>
        <v>0</v>
      </c>
    </row>
    <row r="270" spans="1:13" ht="18.75" customHeight="1">
      <c r="A270" s="137" t="s">
        <v>27</v>
      </c>
      <c r="B270" s="33"/>
      <c r="C270" s="17">
        <v>412900</v>
      </c>
      <c r="D270" s="30" t="s">
        <v>319</v>
      </c>
      <c r="E270" s="184">
        <v>3000</v>
      </c>
      <c r="F270" s="184">
        <f t="shared" si="37"/>
        <v>0</v>
      </c>
      <c r="G270" s="184">
        <v>3000</v>
      </c>
      <c r="H270" s="207">
        <f t="shared" si="35"/>
        <v>100</v>
      </c>
      <c r="I270" s="318">
        <f t="shared" si="36"/>
        <v>0.012936008712660589</v>
      </c>
      <c r="K270" s="184">
        <v>3000</v>
      </c>
      <c r="L270" s="184">
        <v>3000</v>
      </c>
      <c r="M270" s="511">
        <f t="shared" si="38"/>
        <v>0</v>
      </c>
    </row>
    <row r="271" spans="1:13" ht="24" customHeight="1" hidden="1">
      <c r="A271" s="137" t="s">
        <v>27</v>
      </c>
      <c r="B271" s="33"/>
      <c r="C271" s="17">
        <v>412900</v>
      </c>
      <c r="D271" s="30" t="s">
        <v>511</v>
      </c>
      <c r="E271" s="184">
        <v>0</v>
      </c>
      <c r="F271" s="184">
        <f t="shared" si="37"/>
        <v>0</v>
      </c>
      <c r="G271" s="184">
        <v>0</v>
      </c>
      <c r="H271" s="207">
        <f t="shared" si="35"/>
        <v>0</v>
      </c>
      <c r="I271" s="318">
        <f t="shared" si="36"/>
        <v>0</v>
      </c>
      <c r="K271" s="184"/>
      <c r="L271" s="184">
        <v>0</v>
      </c>
      <c r="M271" s="511">
        <f t="shared" si="38"/>
        <v>0</v>
      </c>
    </row>
    <row r="272" spans="1:13" ht="12.75">
      <c r="A272" s="137" t="s">
        <v>27</v>
      </c>
      <c r="B272" s="33"/>
      <c r="C272" s="17">
        <v>412900</v>
      </c>
      <c r="D272" s="30" t="s">
        <v>151</v>
      </c>
      <c r="E272" s="184">
        <v>3000</v>
      </c>
      <c r="F272" s="184">
        <f t="shared" si="37"/>
        <v>3930</v>
      </c>
      <c r="G272" s="184">
        <v>6930</v>
      </c>
      <c r="H272" s="207">
        <f t="shared" si="35"/>
        <v>231</v>
      </c>
      <c r="I272" s="318">
        <f t="shared" si="36"/>
        <v>0.02988218012624596</v>
      </c>
      <c r="K272" s="184">
        <v>6930</v>
      </c>
      <c r="L272" s="184">
        <v>6930</v>
      </c>
      <c r="M272" s="511">
        <f t="shared" si="38"/>
        <v>0</v>
      </c>
    </row>
    <row r="273" spans="1:13" ht="12.75">
      <c r="A273" s="137" t="s">
        <v>27</v>
      </c>
      <c r="B273" s="33"/>
      <c r="C273" s="17">
        <v>412900</v>
      </c>
      <c r="D273" s="34" t="s">
        <v>533</v>
      </c>
      <c r="E273" s="184">
        <v>0</v>
      </c>
      <c r="F273" s="184">
        <f t="shared" si="37"/>
        <v>1434</v>
      </c>
      <c r="G273" s="184">
        <v>1434</v>
      </c>
      <c r="H273" s="207">
        <f t="shared" si="35"/>
        <v>0</v>
      </c>
      <c r="I273" s="318">
        <f t="shared" si="36"/>
        <v>0.006183412164651761</v>
      </c>
      <c r="K273" s="184">
        <v>1434</v>
      </c>
      <c r="L273" s="184">
        <v>1434</v>
      </c>
      <c r="M273" s="511">
        <f t="shared" si="38"/>
        <v>0</v>
      </c>
    </row>
    <row r="274" spans="1:13" ht="14.25" customHeight="1">
      <c r="A274" s="137"/>
      <c r="B274" s="23">
        <v>511000</v>
      </c>
      <c r="C274" s="33"/>
      <c r="D274" s="32" t="s">
        <v>160</v>
      </c>
      <c r="E274" s="187">
        <f>SUM(E275:E276)</f>
        <v>55000</v>
      </c>
      <c r="F274" s="187">
        <f>SUM(F275:F276)</f>
        <v>-13245</v>
      </c>
      <c r="G274" s="187">
        <f>SUM(G275:G276)</f>
        <v>41755</v>
      </c>
      <c r="H274" s="187">
        <f t="shared" si="35"/>
        <v>75.91818181818182</v>
      </c>
      <c r="I274" s="315">
        <f t="shared" si="36"/>
        <v>0.18004768126571427</v>
      </c>
      <c r="K274" s="187">
        <f>SUM(K275:K276)</f>
        <v>41754.229999999996</v>
      </c>
      <c r="L274" s="187">
        <f>SUM(L275:L276)</f>
        <v>41754.229999999996</v>
      </c>
      <c r="M274" s="511">
        <f t="shared" si="38"/>
        <v>0.7700000000040745</v>
      </c>
    </row>
    <row r="275" spans="1:13" ht="24" customHeight="1">
      <c r="A275" s="137" t="s">
        <v>27</v>
      </c>
      <c r="B275" s="33"/>
      <c r="C275" s="42">
        <v>511200</v>
      </c>
      <c r="D275" s="43" t="s">
        <v>170</v>
      </c>
      <c r="E275" s="196">
        <v>10000</v>
      </c>
      <c r="F275" s="196">
        <f t="shared" si="37"/>
        <v>10775</v>
      </c>
      <c r="G275" s="196">
        <v>20775</v>
      </c>
      <c r="H275" s="207">
        <f t="shared" si="35"/>
        <v>207.75</v>
      </c>
      <c r="I275" s="318">
        <f t="shared" si="36"/>
        <v>0.08958186033517458</v>
      </c>
      <c r="K275" s="196">
        <v>20774.23</v>
      </c>
      <c r="L275" s="196">
        <v>20774.23</v>
      </c>
      <c r="M275" s="511">
        <f t="shared" si="38"/>
        <v>0.7700000000004366</v>
      </c>
    </row>
    <row r="276" spans="1:13" ht="12.75">
      <c r="A276" s="137" t="s">
        <v>27</v>
      </c>
      <c r="B276" s="33"/>
      <c r="C276" s="33">
        <v>511300</v>
      </c>
      <c r="D276" s="33" t="s">
        <v>2</v>
      </c>
      <c r="E276" s="196">
        <v>45000</v>
      </c>
      <c r="F276" s="196">
        <f t="shared" si="37"/>
        <v>-24020</v>
      </c>
      <c r="G276" s="196">
        <v>20980</v>
      </c>
      <c r="H276" s="207">
        <f t="shared" si="35"/>
        <v>46.62222222222222</v>
      </c>
      <c r="I276" s="318">
        <f t="shared" si="36"/>
        <v>0.09046582093053972</v>
      </c>
      <c r="K276" s="196">
        <v>20980</v>
      </c>
      <c r="L276" s="196">
        <v>20980</v>
      </c>
      <c r="M276" s="511">
        <f t="shared" si="38"/>
        <v>0</v>
      </c>
    </row>
    <row r="277" spans="1:13" ht="25.5" customHeight="1">
      <c r="A277" s="137"/>
      <c r="B277" s="23">
        <v>516000</v>
      </c>
      <c r="C277" s="33"/>
      <c r="D277" s="32" t="s">
        <v>365</v>
      </c>
      <c r="E277" s="187">
        <f>SUM(E278)</f>
        <v>7000</v>
      </c>
      <c r="F277" s="187">
        <f>SUM(F278)</f>
        <v>0</v>
      </c>
      <c r="G277" s="187">
        <f>SUM(G278)</f>
        <v>7000</v>
      </c>
      <c r="H277" s="187">
        <f t="shared" si="35"/>
        <v>100</v>
      </c>
      <c r="I277" s="315">
        <f t="shared" si="36"/>
        <v>0.03018402032954137</v>
      </c>
      <c r="K277" s="187">
        <f>SUM(K278)</f>
        <v>7000</v>
      </c>
      <c r="L277" s="187">
        <f>SUM(L278)</f>
        <v>7000</v>
      </c>
      <c r="M277" s="511">
        <f t="shared" si="38"/>
        <v>0</v>
      </c>
    </row>
    <row r="278" spans="1:13" ht="20.25" customHeight="1">
      <c r="A278" s="137" t="s">
        <v>27</v>
      </c>
      <c r="B278" s="33"/>
      <c r="C278" s="33">
        <v>516100</v>
      </c>
      <c r="D278" s="30" t="s">
        <v>292</v>
      </c>
      <c r="E278" s="186">
        <v>7000</v>
      </c>
      <c r="F278" s="70">
        <f t="shared" si="37"/>
        <v>0</v>
      </c>
      <c r="G278" s="186">
        <v>7000</v>
      </c>
      <c r="H278" s="207">
        <f t="shared" si="35"/>
        <v>100</v>
      </c>
      <c r="I278" s="318">
        <f t="shared" si="36"/>
        <v>0.03018402032954137</v>
      </c>
      <c r="K278" s="186">
        <v>7000</v>
      </c>
      <c r="L278" s="186">
        <v>7000</v>
      </c>
      <c r="M278" s="511">
        <f t="shared" si="38"/>
        <v>0</v>
      </c>
    </row>
    <row r="279" spans="1:13" ht="25.5" customHeight="1">
      <c r="A279" s="548"/>
      <c r="B279" s="549"/>
      <c r="C279" s="550" t="s">
        <v>91</v>
      </c>
      <c r="D279" s="551"/>
      <c r="E279" s="347">
        <f>E263+E274+E277</f>
        <v>428000</v>
      </c>
      <c r="F279" s="347">
        <f>F263+F274+F277</f>
        <v>-7881</v>
      </c>
      <c r="G279" s="347">
        <f>G263+G274+G277</f>
        <v>420119</v>
      </c>
      <c r="H279" s="348">
        <f t="shared" si="35"/>
        <v>98.15864485981308</v>
      </c>
      <c r="I279" s="349">
        <f t="shared" si="36"/>
        <v>1.8115543481180847</v>
      </c>
      <c r="K279" s="347">
        <f>K263+K274+K277</f>
        <v>420118.23</v>
      </c>
      <c r="L279" s="347">
        <f>L263+L274+L277</f>
        <v>420118.23</v>
      </c>
      <c r="M279" s="511">
        <f t="shared" si="38"/>
        <v>0.7700000000186265</v>
      </c>
    </row>
    <row r="280" spans="1:13" ht="12.75">
      <c r="A280" s="548"/>
      <c r="B280" s="549"/>
      <c r="C280" s="560" t="s">
        <v>317</v>
      </c>
      <c r="D280" s="561"/>
      <c r="E280" s="175"/>
      <c r="F280" s="175"/>
      <c r="G280" s="175"/>
      <c r="H280" s="175"/>
      <c r="I280" s="372"/>
      <c r="K280" s="175"/>
      <c r="L280" s="175"/>
      <c r="M280" s="511">
        <f t="shared" si="38"/>
        <v>0</v>
      </c>
    </row>
    <row r="281" spans="1:13" ht="12.75">
      <c r="A281" s="548"/>
      <c r="B281" s="549"/>
      <c r="C281" s="562"/>
      <c r="D281" s="561"/>
      <c r="E281" s="176"/>
      <c r="F281" s="176"/>
      <c r="G281" s="176"/>
      <c r="H281" s="176"/>
      <c r="I281" s="373"/>
      <c r="K281" s="176"/>
      <c r="L281" s="176"/>
      <c r="M281" s="511">
        <f t="shared" si="38"/>
        <v>0</v>
      </c>
    </row>
    <row r="282" spans="1:13" ht="11.25" customHeight="1">
      <c r="A282" s="548"/>
      <c r="B282" s="549"/>
      <c r="C282" s="562"/>
      <c r="D282" s="561"/>
      <c r="E282" s="177"/>
      <c r="F282" s="177"/>
      <c r="G282" s="177"/>
      <c r="H282" s="177"/>
      <c r="I282" s="374"/>
      <c r="K282" s="177"/>
      <c r="L282" s="177"/>
      <c r="M282" s="511">
        <f t="shared" si="38"/>
        <v>0</v>
      </c>
    </row>
    <row r="283" spans="1:13" ht="15" customHeight="1">
      <c r="A283" s="137"/>
      <c r="B283" s="23">
        <v>412000</v>
      </c>
      <c r="C283" s="17"/>
      <c r="D283" s="32" t="s">
        <v>142</v>
      </c>
      <c r="E283" s="357">
        <f>SUM(E284:E290)</f>
        <v>27400</v>
      </c>
      <c r="F283" s="357">
        <f>SUM(F284:F290)</f>
        <v>330</v>
      </c>
      <c r="G283" s="357">
        <f>SUM(G284:G290)</f>
        <v>27730</v>
      </c>
      <c r="H283" s="357">
        <f aca="true" t="shared" si="39" ref="H283:H298">IF(E283&gt;0,G283/E283*100,0)</f>
        <v>101.2043795620438</v>
      </c>
      <c r="I283" s="358">
        <f aca="true" t="shared" si="40" ref="I283:I298">G283/$G$502*100</f>
        <v>0.11957184053402604</v>
      </c>
      <c r="K283" s="357">
        <f>SUM(K284:K290)</f>
        <v>27730</v>
      </c>
      <c r="L283" s="357">
        <f>SUM(L284:L290)</f>
        <v>27730</v>
      </c>
      <c r="M283" s="511">
        <f t="shared" si="38"/>
        <v>0</v>
      </c>
    </row>
    <row r="284" spans="1:13" ht="22.5" customHeight="1">
      <c r="A284" s="137" t="s">
        <v>59</v>
      </c>
      <c r="B284" s="23"/>
      <c r="C284" s="17">
        <v>412200</v>
      </c>
      <c r="D284" s="30" t="s">
        <v>144</v>
      </c>
      <c r="E284" s="196">
        <v>11000</v>
      </c>
      <c r="F284" s="196">
        <f aca="true" t="shared" si="41" ref="F284:F297">G284-E284</f>
        <v>-500</v>
      </c>
      <c r="G284" s="196">
        <v>10500</v>
      </c>
      <c r="H284" s="207">
        <f t="shared" si="39"/>
        <v>95.45454545454545</v>
      </c>
      <c r="I284" s="318">
        <f t="shared" si="40"/>
        <v>0.04527603049431206</v>
      </c>
      <c r="K284" s="196">
        <v>10500</v>
      </c>
      <c r="L284" s="196">
        <v>10500</v>
      </c>
      <c r="M284" s="511">
        <f t="shared" si="38"/>
        <v>0</v>
      </c>
    </row>
    <row r="285" spans="1:13" ht="12.75">
      <c r="A285" s="137" t="s">
        <v>59</v>
      </c>
      <c r="B285" s="23"/>
      <c r="C285" s="17">
        <v>412300</v>
      </c>
      <c r="D285" s="33" t="s">
        <v>145</v>
      </c>
      <c r="E285" s="196">
        <v>500</v>
      </c>
      <c r="F285" s="196">
        <f t="shared" si="41"/>
        <v>550</v>
      </c>
      <c r="G285" s="196">
        <v>1050</v>
      </c>
      <c r="H285" s="207">
        <f t="shared" si="39"/>
        <v>210</v>
      </c>
      <c r="I285" s="318">
        <f t="shared" si="40"/>
        <v>0.0045276030494312055</v>
      </c>
      <c r="K285" s="196">
        <v>1050</v>
      </c>
      <c r="L285" s="196">
        <v>1050</v>
      </c>
      <c r="M285" s="511">
        <f t="shared" si="38"/>
        <v>0</v>
      </c>
    </row>
    <row r="286" spans="1:13" ht="12.75">
      <c r="A286" s="137" t="s">
        <v>59</v>
      </c>
      <c r="B286" s="23"/>
      <c r="C286" s="17">
        <v>412400</v>
      </c>
      <c r="D286" s="30" t="s">
        <v>146</v>
      </c>
      <c r="E286" s="196">
        <v>3000</v>
      </c>
      <c r="F286" s="196">
        <f t="shared" si="41"/>
        <v>-1500</v>
      </c>
      <c r="G286" s="196">
        <v>1500</v>
      </c>
      <c r="H286" s="207">
        <f t="shared" si="39"/>
        <v>50</v>
      </c>
      <c r="I286" s="318">
        <f t="shared" si="40"/>
        <v>0.0064680043563302946</v>
      </c>
      <c r="K286" s="196">
        <v>1500</v>
      </c>
      <c r="L286" s="196">
        <v>2900</v>
      </c>
      <c r="M286" s="511">
        <f t="shared" si="38"/>
        <v>-1400</v>
      </c>
    </row>
    <row r="287" spans="1:13" ht="12.75">
      <c r="A287" s="137" t="s">
        <v>59</v>
      </c>
      <c r="B287" s="23"/>
      <c r="C287" s="17">
        <v>412500</v>
      </c>
      <c r="D287" s="33" t="s">
        <v>147</v>
      </c>
      <c r="E287" s="184">
        <v>7000</v>
      </c>
      <c r="F287" s="184">
        <f t="shared" si="41"/>
        <v>1400</v>
      </c>
      <c r="G287" s="184">
        <v>8400</v>
      </c>
      <c r="H287" s="207">
        <f t="shared" si="39"/>
        <v>120</v>
      </c>
      <c r="I287" s="318">
        <f t="shared" si="40"/>
        <v>0.036220824395449644</v>
      </c>
      <c r="K287" s="184">
        <v>8400</v>
      </c>
      <c r="L287" s="184">
        <v>6700</v>
      </c>
      <c r="M287" s="511">
        <f t="shared" si="38"/>
        <v>1700</v>
      </c>
    </row>
    <row r="288" spans="1:13" ht="12.75">
      <c r="A288" s="137" t="s">
        <v>59</v>
      </c>
      <c r="B288" s="23"/>
      <c r="C288" s="78">
        <v>412700</v>
      </c>
      <c r="D288" s="78" t="s">
        <v>149</v>
      </c>
      <c r="E288" s="196">
        <v>3000</v>
      </c>
      <c r="F288" s="196">
        <f t="shared" si="41"/>
        <v>-150</v>
      </c>
      <c r="G288" s="196">
        <v>2850</v>
      </c>
      <c r="H288" s="207">
        <f t="shared" si="39"/>
        <v>95</v>
      </c>
      <c r="I288" s="318">
        <f t="shared" si="40"/>
        <v>0.01228920827702756</v>
      </c>
      <c r="K288" s="196">
        <v>2850</v>
      </c>
      <c r="L288" s="196">
        <v>3000</v>
      </c>
      <c r="M288" s="511">
        <f t="shared" si="38"/>
        <v>-150</v>
      </c>
    </row>
    <row r="289" spans="1:13" ht="12.75">
      <c r="A289" s="137" t="s">
        <v>59</v>
      </c>
      <c r="B289" s="23"/>
      <c r="C289" s="78">
        <v>412900</v>
      </c>
      <c r="D289" s="33" t="s">
        <v>0</v>
      </c>
      <c r="E289" s="196">
        <v>400</v>
      </c>
      <c r="F289" s="196">
        <f t="shared" si="41"/>
        <v>-150</v>
      </c>
      <c r="G289" s="196">
        <v>250</v>
      </c>
      <c r="H289" s="207">
        <f t="shared" si="39"/>
        <v>62.5</v>
      </c>
      <c r="I289" s="318">
        <f t="shared" si="40"/>
        <v>0.001078000726055049</v>
      </c>
      <c r="K289" s="196">
        <v>250</v>
      </c>
      <c r="L289" s="196">
        <v>400</v>
      </c>
      <c r="M289" s="511">
        <f t="shared" si="38"/>
        <v>-150</v>
      </c>
    </row>
    <row r="290" spans="1:13" ht="12.75">
      <c r="A290" s="137" t="s">
        <v>59</v>
      </c>
      <c r="B290" s="23"/>
      <c r="C290" s="78">
        <v>412900</v>
      </c>
      <c r="D290" s="78" t="s">
        <v>151</v>
      </c>
      <c r="E290" s="196">
        <v>2500</v>
      </c>
      <c r="F290" s="196">
        <f t="shared" si="41"/>
        <v>680</v>
      </c>
      <c r="G290" s="196">
        <v>3180</v>
      </c>
      <c r="H290" s="207">
        <f t="shared" si="39"/>
        <v>127.2</v>
      </c>
      <c r="I290" s="318">
        <f t="shared" si="40"/>
        <v>0.013712169235420225</v>
      </c>
      <c r="K290" s="196">
        <v>3180</v>
      </c>
      <c r="L290" s="196">
        <v>3180</v>
      </c>
      <c r="M290" s="511">
        <f t="shared" si="38"/>
        <v>0</v>
      </c>
    </row>
    <row r="291" spans="1:13" ht="12.75">
      <c r="A291" s="137"/>
      <c r="B291" s="23">
        <v>415000</v>
      </c>
      <c r="C291" s="78"/>
      <c r="D291" s="35" t="s">
        <v>156</v>
      </c>
      <c r="E291" s="187">
        <f>SUM(E292:E292)</f>
        <v>5000</v>
      </c>
      <c r="F291" s="187">
        <f>SUM(F292:F292)</f>
        <v>-500</v>
      </c>
      <c r="G291" s="187">
        <f>SUM(G292:G292)</f>
        <v>4500</v>
      </c>
      <c r="H291" s="187">
        <f t="shared" si="39"/>
        <v>90</v>
      </c>
      <c r="I291" s="315">
        <f t="shared" si="40"/>
        <v>0.019404013068990884</v>
      </c>
      <c r="K291" s="187">
        <f>SUM(K292:K292)</f>
        <v>4500</v>
      </c>
      <c r="L291" s="187">
        <f>SUM(L292:L292)</f>
        <v>4500</v>
      </c>
      <c r="M291" s="511">
        <f t="shared" si="38"/>
        <v>0</v>
      </c>
    </row>
    <row r="292" spans="1:13" ht="21.75" customHeight="1">
      <c r="A292" s="137" t="s">
        <v>59</v>
      </c>
      <c r="B292" s="23"/>
      <c r="C292" s="78">
        <v>415200</v>
      </c>
      <c r="D292" s="30" t="s">
        <v>350</v>
      </c>
      <c r="E292" s="270">
        <v>5000</v>
      </c>
      <c r="F292" s="270">
        <f t="shared" si="41"/>
        <v>-500</v>
      </c>
      <c r="G292" s="270">
        <v>4500</v>
      </c>
      <c r="H292" s="207">
        <f t="shared" si="39"/>
        <v>90</v>
      </c>
      <c r="I292" s="318">
        <f t="shared" si="40"/>
        <v>0.019404013068990884</v>
      </c>
      <c r="K292" s="270">
        <v>4500</v>
      </c>
      <c r="L292" s="270">
        <v>4500</v>
      </c>
      <c r="M292" s="511">
        <f t="shared" si="38"/>
        <v>0</v>
      </c>
    </row>
    <row r="293" spans="1:15" ht="14.25" customHeight="1">
      <c r="A293" s="137"/>
      <c r="B293" s="23">
        <v>511000</v>
      </c>
      <c r="C293" s="17"/>
      <c r="D293" s="32" t="s">
        <v>160</v>
      </c>
      <c r="E293" s="187">
        <f>SUM(E294:E297)</f>
        <v>299381.85</v>
      </c>
      <c r="F293" s="187">
        <f>SUM(F294:F297)</f>
        <v>-4611.850000000006</v>
      </c>
      <c r="G293" s="187">
        <f>SUM(G294:G297)</f>
        <v>294770</v>
      </c>
      <c r="H293" s="187">
        <f t="shared" si="39"/>
        <v>98.4595425540994</v>
      </c>
      <c r="I293" s="315">
        <f t="shared" si="40"/>
        <v>1.2710490960769871</v>
      </c>
      <c r="J293" s="390"/>
      <c r="K293" s="187">
        <f>SUM(K294:K297)</f>
        <v>294770</v>
      </c>
      <c r="L293" s="187">
        <f>SUM(L294:L297)</f>
        <v>294770</v>
      </c>
      <c r="M293" s="511">
        <f t="shared" si="38"/>
        <v>0</v>
      </c>
      <c r="N293" s="208"/>
      <c r="O293" s="208"/>
    </row>
    <row r="294" spans="1:15" ht="12.75" customHeight="1">
      <c r="A294" s="137" t="s">
        <v>59</v>
      </c>
      <c r="B294" s="23"/>
      <c r="C294" s="17">
        <v>511100</v>
      </c>
      <c r="D294" s="34" t="s">
        <v>61</v>
      </c>
      <c r="E294" s="184">
        <v>259381.85</v>
      </c>
      <c r="F294" s="184">
        <f t="shared" si="41"/>
        <v>-29381.850000000006</v>
      </c>
      <c r="G294" s="184">
        <v>230000</v>
      </c>
      <c r="H294" s="207">
        <f t="shared" si="39"/>
        <v>88.67235699028285</v>
      </c>
      <c r="I294" s="318">
        <f t="shared" si="40"/>
        <v>0.9917606679706451</v>
      </c>
      <c r="J294" s="390"/>
      <c r="K294" s="184">
        <v>230000</v>
      </c>
      <c r="L294" s="184">
        <v>230000</v>
      </c>
      <c r="M294" s="511">
        <f t="shared" si="38"/>
        <v>0</v>
      </c>
      <c r="N294" s="208"/>
      <c r="O294" s="208"/>
    </row>
    <row r="295" spans="1:15" ht="24" hidden="1">
      <c r="A295" s="137" t="s">
        <v>59</v>
      </c>
      <c r="B295" s="23"/>
      <c r="C295" s="17">
        <v>511200</v>
      </c>
      <c r="D295" s="43" t="s">
        <v>170</v>
      </c>
      <c r="E295" s="196"/>
      <c r="F295" s="196">
        <f t="shared" si="41"/>
        <v>0</v>
      </c>
      <c r="G295" s="196"/>
      <c r="H295" s="207">
        <f t="shared" si="39"/>
        <v>0</v>
      </c>
      <c r="I295" s="318">
        <f t="shared" si="40"/>
        <v>0</v>
      </c>
      <c r="J295" s="390"/>
      <c r="K295" s="196"/>
      <c r="L295" s="196"/>
      <c r="M295" s="511">
        <f t="shared" si="38"/>
        <v>0</v>
      </c>
      <c r="N295" s="208"/>
      <c r="O295" s="208"/>
    </row>
    <row r="296" spans="1:15" ht="12.75">
      <c r="A296" s="137" t="s">
        <v>59</v>
      </c>
      <c r="B296" s="23"/>
      <c r="C296" s="17">
        <v>511300</v>
      </c>
      <c r="D296" s="34" t="s">
        <v>2</v>
      </c>
      <c r="E296" s="70">
        <v>30000</v>
      </c>
      <c r="F296" s="196">
        <f t="shared" si="41"/>
        <v>28450</v>
      </c>
      <c r="G296" s="70">
        <v>58450</v>
      </c>
      <c r="H296" s="207">
        <f t="shared" si="39"/>
        <v>194.83333333333331</v>
      </c>
      <c r="I296" s="318">
        <f t="shared" si="40"/>
        <v>0.2520365697516705</v>
      </c>
      <c r="J296" s="391"/>
      <c r="K296" s="70">
        <v>58450</v>
      </c>
      <c r="L296" s="70">
        <v>58450</v>
      </c>
      <c r="M296" s="511">
        <f t="shared" si="38"/>
        <v>0</v>
      </c>
      <c r="N296" s="193"/>
      <c r="O296" s="193"/>
    </row>
    <row r="297" spans="1:15" ht="12.75">
      <c r="A297" s="204" t="s">
        <v>59</v>
      </c>
      <c r="B297" s="23"/>
      <c r="C297" s="17">
        <v>511400</v>
      </c>
      <c r="D297" s="34" t="s">
        <v>357</v>
      </c>
      <c r="E297" s="70">
        <v>10000</v>
      </c>
      <c r="F297" s="196">
        <f t="shared" si="41"/>
        <v>-3680</v>
      </c>
      <c r="G297" s="70">
        <v>6320</v>
      </c>
      <c r="H297" s="207">
        <f t="shared" si="39"/>
        <v>63.2</v>
      </c>
      <c r="I297" s="318">
        <f t="shared" si="40"/>
        <v>0.02725185835467164</v>
      </c>
      <c r="J297" s="391"/>
      <c r="K297" s="70">
        <v>6320</v>
      </c>
      <c r="L297" s="70">
        <v>6320</v>
      </c>
      <c r="M297" s="511">
        <f t="shared" si="38"/>
        <v>0</v>
      </c>
      <c r="N297" s="193"/>
      <c r="O297" s="193"/>
    </row>
    <row r="298" spans="1:13" ht="24.75" customHeight="1">
      <c r="A298" s="548"/>
      <c r="B298" s="549"/>
      <c r="C298" s="550" t="s">
        <v>321</v>
      </c>
      <c r="D298" s="551"/>
      <c r="E298" s="71">
        <f>E283+E291+E293</f>
        <v>331781.85</v>
      </c>
      <c r="F298" s="71">
        <f>F283+F291+F293</f>
        <v>-4781.850000000006</v>
      </c>
      <c r="G298" s="71">
        <f>G283+G291+G293</f>
        <v>327000</v>
      </c>
      <c r="H298" s="323">
        <f t="shared" si="39"/>
        <v>98.55873671208958</v>
      </c>
      <c r="I298" s="325">
        <f t="shared" si="40"/>
        <v>1.4100249496800041</v>
      </c>
      <c r="K298" s="71">
        <f>K283+K291+K293</f>
        <v>327000</v>
      </c>
      <c r="L298" s="71">
        <f>L283+L291+L293</f>
        <v>327000</v>
      </c>
      <c r="M298" s="511">
        <f t="shared" si="38"/>
        <v>0</v>
      </c>
    </row>
    <row r="299" spans="1:13" ht="12.75">
      <c r="A299" s="556"/>
      <c r="B299" s="557"/>
      <c r="C299" s="560" t="s">
        <v>361</v>
      </c>
      <c r="D299" s="561"/>
      <c r="E299" s="175"/>
      <c r="F299" s="175"/>
      <c r="G299" s="175"/>
      <c r="H299" s="175"/>
      <c r="I299" s="372"/>
      <c r="K299" s="175"/>
      <c r="L299" s="175"/>
      <c r="M299" s="511">
        <f t="shared" si="38"/>
        <v>0</v>
      </c>
    </row>
    <row r="300" spans="1:13" ht="12.75">
      <c r="A300" s="556"/>
      <c r="B300" s="557"/>
      <c r="C300" s="562"/>
      <c r="D300" s="561"/>
      <c r="E300" s="176"/>
      <c r="F300" s="176"/>
      <c r="G300" s="176"/>
      <c r="H300" s="176"/>
      <c r="I300" s="373"/>
      <c r="K300" s="176"/>
      <c r="L300" s="176"/>
      <c r="M300" s="511">
        <f t="shared" si="38"/>
        <v>0</v>
      </c>
    </row>
    <row r="301" spans="1:13" ht="12.75" customHeight="1">
      <c r="A301" s="556"/>
      <c r="B301" s="557"/>
      <c r="C301" s="562"/>
      <c r="D301" s="561"/>
      <c r="E301" s="177"/>
      <c r="F301" s="177"/>
      <c r="G301" s="177"/>
      <c r="H301" s="177"/>
      <c r="I301" s="374"/>
      <c r="K301" s="177"/>
      <c r="L301" s="177"/>
      <c r="M301" s="511">
        <f t="shared" si="38"/>
        <v>0</v>
      </c>
    </row>
    <row r="302" spans="1:13" ht="14.25" customHeight="1">
      <c r="A302" s="137"/>
      <c r="B302" s="23">
        <v>411000</v>
      </c>
      <c r="C302" s="36"/>
      <c r="D302" s="26" t="s">
        <v>409</v>
      </c>
      <c r="E302" s="355">
        <f>SUM(E303:E306)</f>
        <v>269000</v>
      </c>
      <c r="F302" s="355">
        <f>SUM(F303:F306)</f>
        <v>0</v>
      </c>
      <c r="G302" s="355">
        <f>SUM(G303:G306)</f>
        <v>269000</v>
      </c>
      <c r="H302" s="357">
        <f aca="true" t="shared" si="42" ref="H302:H336">IF(E302&gt;0,G302/E302*100,0)</f>
        <v>100</v>
      </c>
      <c r="I302" s="358">
        <f aca="true" t="shared" si="43" ref="I302:I336">G302/$G$502*100</f>
        <v>1.1599287812352328</v>
      </c>
      <c r="K302" s="355">
        <f>SUM(K303:K306)</f>
        <v>269000</v>
      </c>
      <c r="L302" s="355">
        <f>SUM(L303:L306)</f>
        <v>269000</v>
      </c>
      <c r="M302" s="511">
        <f t="shared" si="38"/>
        <v>0</v>
      </c>
    </row>
    <row r="303" spans="1:13" ht="12.75" customHeight="1">
      <c r="A303" s="137">
        <v>1090</v>
      </c>
      <c r="B303" s="33"/>
      <c r="C303" s="17">
        <v>411100</v>
      </c>
      <c r="D303" s="27" t="s">
        <v>403</v>
      </c>
      <c r="E303" s="196">
        <v>200000</v>
      </c>
      <c r="F303" s="196">
        <f aca="true" t="shared" si="44" ref="F303:F335">G303-E303</f>
        <v>14000</v>
      </c>
      <c r="G303" s="196">
        <v>214000</v>
      </c>
      <c r="H303" s="207">
        <f t="shared" si="42"/>
        <v>107</v>
      </c>
      <c r="I303" s="318">
        <f t="shared" si="43"/>
        <v>0.9227686215031219</v>
      </c>
      <c r="K303" s="196">
        <v>214000</v>
      </c>
      <c r="L303" s="196">
        <v>200000</v>
      </c>
      <c r="M303" s="511">
        <f t="shared" si="38"/>
        <v>14000</v>
      </c>
    </row>
    <row r="304" spans="1:13" ht="23.25" customHeight="1">
      <c r="A304" s="137">
        <v>1090</v>
      </c>
      <c r="B304" s="33"/>
      <c r="C304" s="17">
        <v>411200</v>
      </c>
      <c r="D304" s="27" t="s">
        <v>410</v>
      </c>
      <c r="E304" s="196">
        <v>58000</v>
      </c>
      <c r="F304" s="196">
        <f t="shared" si="44"/>
        <v>-8400</v>
      </c>
      <c r="G304" s="196">
        <v>49600</v>
      </c>
      <c r="H304" s="207">
        <f t="shared" si="42"/>
        <v>85.51724137931035</v>
      </c>
      <c r="I304" s="318">
        <f t="shared" si="43"/>
        <v>0.2138753440493217</v>
      </c>
      <c r="K304" s="196">
        <v>49600</v>
      </c>
      <c r="L304" s="196">
        <v>58000</v>
      </c>
      <c r="M304" s="511">
        <f t="shared" si="38"/>
        <v>-8400</v>
      </c>
    </row>
    <row r="305" spans="1:13" ht="19.5" customHeight="1">
      <c r="A305" s="137">
        <v>1090</v>
      </c>
      <c r="B305" s="33"/>
      <c r="C305" s="17">
        <v>411300</v>
      </c>
      <c r="D305" s="27" t="s">
        <v>404</v>
      </c>
      <c r="E305" s="196">
        <v>3000</v>
      </c>
      <c r="F305" s="196">
        <f t="shared" si="44"/>
        <v>0</v>
      </c>
      <c r="G305" s="196">
        <v>3000</v>
      </c>
      <c r="H305" s="207">
        <f t="shared" si="42"/>
        <v>100</v>
      </c>
      <c r="I305" s="318">
        <f t="shared" si="43"/>
        <v>0.012936008712660589</v>
      </c>
      <c r="K305" s="196">
        <v>3000</v>
      </c>
      <c r="L305" s="196">
        <v>3000</v>
      </c>
      <c r="M305" s="511">
        <f t="shared" si="38"/>
        <v>0</v>
      </c>
    </row>
    <row r="306" spans="1:13" ht="12.75" customHeight="1">
      <c r="A306" s="137">
        <v>1090</v>
      </c>
      <c r="B306" s="33"/>
      <c r="C306" s="17">
        <v>411400</v>
      </c>
      <c r="D306" s="29" t="s">
        <v>405</v>
      </c>
      <c r="E306" s="196">
        <v>8000</v>
      </c>
      <c r="F306" s="196">
        <f t="shared" si="44"/>
        <v>-5600</v>
      </c>
      <c r="G306" s="196">
        <v>2400</v>
      </c>
      <c r="H306" s="207">
        <f t="shared" si="42"/>
        <v>30</v>
      </c>
      <c r="I306" s="318">
        <f t="shared" si="43"/>
        <v>0.010348806970128471</v>
      </c>
      <c r="K306" s="196">
        <v>2400</v>
      </c>
      <c r="L306" s="196">
        <v>8000</v>
      </c>
      <c r="M306" s="511">
        <f t="shared" si="38"/>
        <v>-5600</v>
      </c>
    </row>
    <row r="307" spans="1:13" ht="14.25" customHeight="1">
      <c r="A307" s="137"/>
      <c r="B307" s="23">
        <v>412000</v>
      </c>
      <c r="C307" s="17"/>
      <c r="D307" s="32" t="s">
        <v>142</v>
      </c>
      <c r="E307" s="187">
        <f>SUM(E308:E314)</f>
        <v>125450</v>
      </c>
      <c r="F307" s="187">
        <f>SUM(F308:F314)</f>
        <v>1090</v>
      </c>
      <c r="G307" s="187">
        <f>SUM(G308:G314)</f>
        <v>126540</v>
      </c>
      <c r="H307" s="187">
        <f t="shared" si="42"/>
        <v>100.86887206058191</v>
      </c>
      <c r="I307" s="315">
        <f t="shared" si="43"/>
        <v>0.5456408475000236</v>
      </c>
      <c r="K307" s="187">
        <f>SUM(K308:K314)</f>
        <v>126540</v>
      </c>
      <c r="L307" s="187">
        <f>SUM(L308:L314)</f>
        <v>129540</v>
      </c>
      <c r="M307" s="511">
        <f t="shared" si="38"/>
        <v>-3000</v>
      </c>
    </row>
    <row r="308" spans="1:13" ht="12.75" customHeight="1">
      <c r="A308" s="137">
        <v>1090</v>
      </c>
      <c r="B308" s="33"/>
      <c r="C308" s="17">
        <v>412100</v>
      </c>
      <c r="D308" s="30" t="s">
        <v>143</v>
      </c>
      <c r="E308" s="196">
        <v>22850</v>
      </c>
      <c r="F308" s="196">
        <f t="shared" si="44"/>
        <v>0</v>
      </c>
      <c r="G308" s="196">
        <v>22850</v>
      </c>
      <c r="H308" s="207">
        <f t="shared" si="42"/>
        <v>100</v>
      </c>
      <c r="I308" s="318">
        <f t="shared" si="43"/>
        <v>0.09852926636143147</v>
      </c>
      <c r="K308" s="196">
        <v>22850</v>
      </c>
      <c r="L308" s="196">
        <v>22850</v>
      </c>
      <c r="M308" s="511">
        <f t="shared" si="38"/>
        <v>0</v>
      </c>
    </row>
    <row r="309" spans="1:13" ht="24" customHeight="1">
      <c r="A309" s="137">
        <v>1090</v>
      </c>
      <c r="B309" s="33"/>
      <c r="C309" s="17">
        <v>412200</v>
      </c>
      <c r="D309" s="30" t="s">
        <v>144</v>
      </c>
      <c r="E309" s="196">
        <v>80000</v>
      </c>
      <c r="F309" s="196">
        <f t="shared" si="44"/>
        <v>-10500</v>
      </c>
      <c r="G309" s="196">
        <v>69500</v>
      </c>
      <c r="H309" s="207">
        <f t="shared" si="42"/>
        <v>86.875</v>
      </c>
      <c r="I309" s="318">
        <f t="shared" si="43"/>
        <v>0.29968420184330363</v>
      </c>
      <c r="K309" s="196">
        <v>69500</v>
      </c>
      <c r="L309" s="196">
        <v>79430</v>
      </c>
      <c r="M309" s="511">
        <f t="shared" si="38"/>
        <v>-9930</v>
      </c>
    </row>
    <row r="310" spans="1:13" ht="12.75" customHeight="1">
      <c r="A310" s="137">
        <v>1090</v>
      </c>
      <c r="B310" s="33"/>
      <c r="C310" s="17">
        <v>412300</v>
      </c>
      <c r="D310" s="33" t="s">
        <v>145</v>
      </c>
      <c r="E310" s="196">
        <v>8000</v>
      </c>
      <c r="F310" s="196">
        <f t="shared" si="44"/>
        <v>0</v>
      </c>
      <c r="G310" s="196">
        <v>8000</v>
      </c>
      <c r="H310" s="207">
        <f t="shared" si="42"/>
        <v>100</v>
      </c>
      <c r="I310" s="318">
        <f t="shared" si="43"/>
        <v>0.034496023233761566</v>
      </c>
      <c r="K310" s="196">
        <v>8000</v>
      </c>
      <c r="L310" s="196">
        <v>8000</v>
      </c>
      <c r="M310" s="511">
        <f t="shared" si="38"/>
        <v>0</v>
      </c>
    </row>
    <row r="311" spans="1:13" ht="12.75" customHeight="1">
      <c r="A311" s="137">
        <v>1090</v>
      </c>
      <c r="B311" s="33"/>
      <c r="C311" s="17">
        <v>412500</v>
      </c>
      <c r="D311" s="33" t="s">
        <v>147</v>
      </c>
      <c r="E311" s="196">
        <v>2000</v>
      </c>
      <c r="F311" s="196">
        <f t="shared" si="44"/>
        <v>0</v>
      </c>
      <c r="G311" s="196">
        <v>2000</v>
      </c>
      <c r="H311" s="207">
        <f t="shared" si="42"/>
        <v>100</v>
      </c>
      <c r="I311" s="318">
        <f t="shared" si="43"/>
        <v>0.008624005808440392</v>
      </c>
      <c r="K311" s="196">
        <v>2000</v>
      </c>
      <c r="L311" s="196">
        <v>2000</v>
      </c>
      <c r="M311" s="511">
        <f t="shared" si="38"/>
        <v>0</v>
      </c>
    </row>
    <row r="312" spans="1:13" ht="12.75" customHeight="1">
      <c r="A312" s="137">
        <v>1090</v>
      </c>
      <c r="B312" s="33"/>
      <c r="C312" s="17">
        <v>412600</v>
      </c>
      <c r="D312" s="47" t="s">
        <v>148</v>
      </c>
      <c r="E312" s="196">
        <v>600</v>
      </c>
      <c r="F312" s="196">
        <f t="shared" si="44"/>
        <v>430</v>
      </c>
      <c r="G312" s="196">
        <v>1030</v>
      </c>
      <c r="H312" s="207">
        <f t="shared" si="42"/>
        <v>171.66666666666666</v>
      </c>
      <c r="I312" s="318">
        <f t="shared" si="43"/>
        <v>0.004441362991346802</v>
      </c>
      <c r="K312" s="196">
        <v>1030</v>
      </c>
      <c r="L312" s="196">
        <v>600</v>
      </c>
      <c r="M312" s="511">
        <f t="shared" si="38"/>
        <v>430</v>
      </c>
    </row>
    <row r="313" spans="1:13" ht="12.75" customHeight="1">
      <c r="A313" s="137" t="s">
        <v>33</v>
      </c>
      <c r="B313" s="77"/>
      <c r="C313" s="78">
        <v>412700</v>
      </c>
      <c r="D313" s="78" t="s">
        <v>149</v>
      </c>
      <c r="E313" s="196">
        <v>4000</v>
      </c>
      <c r="F313" s="196">
        <f t="shared" si="44"/>
        <v>2000</v>
      </c>
      <c r="G313" s="196">
        <v>6000</v>
      </c>
      <c r="H313" s="207">
        <f t="shared" si="42"/>
        <v>150</v>
      </c>
      <c r="I313" s="318">
        <f t="shared" si="43"/>
        <v>0.025872017425321178</v>
      </c>
      <c r="K313" s="196">
        <v>6000</v>
      </c>
      <c r="L313" s="196">
        <v>4000</v>
      </c>
      <c r="M313" s="511">
        <f t="shared" si="38"/>
        <v>2000</v>
      </c>
    </row>
    <row r="314" spans="1:13" ht="12.75" customHeight="1">
      <c r="A314" s="137" t="s">
        <v>33</v>
      </c>
      <c r="B314" s="77"/>
      <c r="C314" s="78">
        <v>412900</v>
      </c>
      <c r="D314" s="78" t="s">
        <v>151</v>
      </c>
      <c r="E314" s="196">
        <v>8000</v>
      </c>
      <c r="F314" s="196">
        <f t="shared" si="44"/>
        <v>9160</v>
      </c>
      <c r="G314" s="196">
        <v>17160</v>
      </c>
      <c r="H314" s="207">
        <f t="shared" si="42"/>
        <v>214.5</v>
      </c>
      <c r="I314" s="318">
        <f t="shared" si="43"/>
        <v>0.07399396983641857</v>
      </c>
      <c r="K314" s="196">
        <v>17160</v>
      </c>
      <c r="L314" s="196">
        <v>12660</v>
      </c>
      <c r="M314" s="511">
        <f t="shared" si="38"/>
        <v>4500</v>
      </c>
    </row>
    <row r="315" spans="1:13" ht="14.25" customHeight="1">
      <c r="A315" s="137"/>
      <c r="B315" s="23"/>
      <c r="C315" s="17"/>
      <c r="D315" s="35" t="s">
        <v>51</v>
      </c>
      <c r="E315" s="65">
        <f>SUM(E316:E326)</f>
        <v>2351000</v>
      </c>
      <c r="F315" s="65">
        <f>SUM(F316:F326)</f>
        <v>34100</v>
      </c>
      <c r="G315" s="65">
        <f>SUM(G316:G326)</f>
        <v>2385100</v>
      </c>
      <c r="H315" s="187">
        <f t="shared" si="42"/>
        <v>101.45044661846023</v>
      </c>
      <c r="I315" s="315">
        <f t="shared" si="43"/>
        <v>10.28455812685559</v>
      </c>
      <c r="K315" s="65">
        <f>SUM(K316:K326)</f>
        <v>2385100</v>
      </c>
      <c r="L315" s="65">
        <f>SUM(L316:L326)</f>
        <v>2363800</v>
      </c>
      <c r="M315" s="511">
        <f t="shared" si="38"/>
        <v>21300</v>
      </c>
    </row>
    <row r="316" spans="1:13" ht="12.75">
      <c r="A316" s="137">
        <v>1090</v>
      </c>
      <c r="B316" s="33"/>
      <c r="C316" s="17">
        <v>416100</v>
      </c>
      <c r="D316" s="30" t="s">
        <v>53</v>
      </c>
      <c r="E316" s="196">
        <v>150000</v>
      </c>
      <c r="F316" s="196">
        <f t="shared" si="44"/>
        <v>-27000</v>
      </c>
      <c r="G316" s="196">
        <v>123000</v>
      </c>
      <c r="H316" s="207">
        <f t="shared" si="42"/>
        <v>82</v>
      </c>
      <c r="I316" s="318">
        <f t="shared" si="43"/>
        <v>0.5303763572190842</v>
      </c>
      <c r="K316" s="196">
        <v>123000</v>
      </c>
      <c r="L316" s="196">
        <v>150000</v>
      </c>
      <c r="M316" s="511">
        <f t="shared" si="38"/>
        <v>-27000</v>
      </c>
    </row>
    <row r="317" spans="1:13" ht="12.75" customHeight="1">
      <c r="A317" s="137" t="s">
        <v>33</v>
      </c>
      <c r="B317" s="33"/>
      <c r="C317" s="17">
        <v>416100</v>
      </c>
      <c r="D317" s="30" t="s">
        <v>219</v>
      </c>
      <c r="E317" s="196">
        <v>150000</v>
      </c>
      <c r="F317" s="196">
        <f t="shared" si="44"/>
        <v>-27000</v>
      </c>
      <c r="G317" s="196">
        <v>123000</v>
      </c>
      <c r="H317" s="207">
        <f t="shared" si="42"/>
        <v>82</v>
      </c>
      <c r="I317" s="318">
        <f t="shared" si="43"/>
        <v>0.5303763572190842</v>
      </c>
      <c r="K317" s="196">
        <v>123000</v>
      </c>
      <c r="L317" s="196">
        <v>150000</v>
      </c>
      <c r="M317" s="511">
        <f t="shared" si="38"/>
        <v>-27000</v>
      </c>
    </row>
    <row r="318" spans="1:13" ht="12.75" customHeight="1">
      <c r="A318" s="137">
        <v>1090</v>
      </c>
      <c r="B318" s="33"/>
      <c r="C318" s="17">
        <v>416100</v>
      </c>
      <c r="D318" s="30" t="s">
        <v>112</v>
      </c>
      <c r="E318" s="196">
        <v>680000</v>
      </c>
      <c r="F318" s="196">
        <f t="shared" si="44"/>
        <v>10000</v>
      </c>
      <c r="G318" s="196">
        <v>690000</v>
      </c>
      <c r="H318" s="207">
        <f t="shared" si="42"/>
        <v>101.47058823529412</v>
      </c>
      <c r="I318" s="318">
        <f t="shared" si="43"/>
        <v>2.975282003911935</v>
      </c>
      <c r="K318" s="196">
        <v>690000</v>
      </c>
      <c r="L318" s="196">
        <v>680000</v>
      </c>
      <c r="M318" s="511">
        <f t="shared" si="38"/>
        <v>10000</v>
      </c>
    </row>
    <row r="319" spans="1:13" ht="15" customHeight="1">
      <c r="A319" s="137" t="s">
        <v>33</v>
      </c>
      <c r="B319" s="33"/>
      <c r="C319" s="17">
        <v>416100</v>
      </c>
      <c r="D319" s="30" t="s">
        <v>220</v>
      </c>
      <c r="E319" s="196">
        <v>680000</v>
      </c>
      <c r="F319" s="196">
        <f t="shared" si="44"/>
        <v>10000</v>
      </c>
      <c r="G319" s="196">
        <v>690000</v>
      </c>
      <c r="H319" s="207">
        <f t="shared" si="42"/>
        <v>101.47058823529412</v>
      </c>
      <c r="I319" s="318">
        <f t="shared" si="43"/>
        <v>2.975282003911935</v>
      </c>
      <c r="K319" s="196">
        <v>690000</v>
      </c>
      <c r="L319" s="196">
        <v>680000</v>
      </c>
      <c r="M319" s="511">
        <f t="shared" si="38"/>
        <v>10000</v>
      </c>
    </row>
    <row r="320" spans="1:13" ht="12.75" customHeight="1">
      <c r="A320" s="137">
        <v>1090</v>
      </c>
      <c r="B320" s="33"/>
      <c r="C320" s="38">
        <v>416100</v>
      </c>
      <c r="D320" s="30" t="s">
        <v>55</v>
      </c>
      <c r="E320" s="196">
        <v>30000</v>
      </c>
      <c r="F320" s="196">
        <f t="shared" si="44"/>
        <v>0</v>
      </c>
      <c r="G320" s="196">
        <v>30000</v>
      </c>
      <c r="H320" s="207">
        <f t="shared" si="42"/>
        <v>100</v>
      </c>
      <c r="I320" s="318">
        <f t="shared" si="43"/>
        <v>0.12936008712660588</v>
      </c>
      <c r="K320" s="196">
        <v>30000</v>
      </c>
      <c r="L320" s="196">
        <v>30000</v>
      </c>
      <c r="M320" s="511">
        <f t="shared" si="38"/>
        <v>0</v>
      </c>
    </row>
    <row r="321" spans="1:13" ht="12.75" customHeight="1">
      <c r="A321" s="137">
        <v>1090</v>
      </c>
      <c r="B321" s="33"/>
      <c r="C321" s="38">
        <v>416100</v>
      </c>
      <c r="D321" s="30" t="s">
        <v>56</v>
      </c>
      <c r="E321" s="196">
        <v>80000</v>
      </c>
      <c r="F321" s="196">
        <f t="shared" si="44"/>
        <v>0</v>
      </c>
      <c r="G321" s="196">
        <v>80000</v>
      </c>
      <c r="H321" s="207">
        <f t="shared" si="42"/>
        <v>100</v>
      </c>
      <c r="I321" s="318">
        <f t="shared" si="43"/>
        <v>0.3449602323376157</v>
      </c>
      <c r="K321" s="196">
        <v>80000</v>
      </c>
      <c r="L321" s="196">
        <v>80000</v>
      </c>
      <c r="M321" s="511">
        <f t="shared" si="38"/>
        <v>0</v>
      </c>
    </row>
    <row r="322" spans="1:13" ht="21" customHeight="1">
      <c r="A322" s="137" t="s">
        <v>33</v>
      </c>
      <c r="B322" s="33"/>
      <c r="C322" s="38">
        <v>416100</v>
      </c>
      <c r="D322" s="30" t="s">
        <v>565</v>
      </c>
      <c r="E322" s="196">
        <v>0</v>
      </c>
      <c r="F322" s="196">
        <f t="shared" si="44"/>
        <v>75600</v>
      </c>
      <c r="G322" s="196">
        <v>75600</v>
      </c>
      <c r="H322" s="207">
        <f t="shared" si="42"/>
        <v>0</v>
      </c>
      <c r="I322" s="318">
        <f t="shared" si="43"/>
        <v>0.3259874195590468</v>
      </c>
      <c r="K322" s="196">
        <v>75600</v>
      </c>
      <c r="L322" s="196">
        <v>12800</v>
      </c>
      <c r="M322" s="511">
        <f t="shared" si="38"/>
        <v>62800</v>
      </c>
    </row>
    <row r="323" spans="1:13" ht="12.75" customHeight="1">
      <c r="A323" s="137">
        <v>1090</v>
      </c>
      <c r="B323" s="33"/>
      <c r="C323" s="17">
        <v>416300</v>
      </c>
      <c r="D323" s="30" t="s">
        <v>111</v>
      </c>
      <c r="E323" s="196">
        <v>300000</v>
      </c>
      <c r="F323" s="196">
        <f t="shared" si="44"/>
        <v>24000</v>
      </c>
      <c r="G323" s="196">
        <v>324000</v>
      </c>
      <c r="H323" s="207">
        <f t="shared" si="42"/>
        <v>108</v>
      </c>
      <c r="I323" s="318">
        <f t="shared" si="43"/>
        <v>1.3970889409673437</v>
      </c>
      <c r="K323" s="196">
        <v>324000</v>
      </c>
      <c r="L323" s="196">
        <v>300000</v>
      </c>
      <c r="M323" s="511">
        <f t="shared" si="38"/>
        <v>24000</v>
      </c>
    </row>
    <row r="324" spans="1:13" ht="12.75" customHeight="1">
      <c r="A324" s="137" t="s">
        <v>33</v>
      </c>
      <c r="B324" s="33"/>
      <c r="C324" s="17">
        <v>416300</v>
      </c>
      <c r="D324" s="33" t="s">
        <v>54</v>
      </c>
      <c r="E324" s="196">
        <v>130000</v>
      </c>
      <c r="F324" s="196">
        <f t="shared" si="44"/>
        <v>-15000</v>
      </c>
      <c r="G324" s="196">
        <v>115000</v>
      </c>
      <c r="H324" s="207">
        <f t="shared" si="42"/>
        <v>88.46153846153845</v>
      </c>
      <c r="I324" s="318">
        <f t="shared" si="43"/>
        <v>0.49588033398532255</v>
      </c>
      <c r="K324" s="196">
        <v>115000</v>
      </c>
      <c r="L324" s="196">
        <v>130000</v>
      </c>
      <c r="M324" s="511">
        <f t="shared" si="38"/>
        <v>-15000</v>
      </c>
    </row>
    <row r="325" spans="1:13" ht="12.75" customHeight="1">
      <c r="A325" s="137" t="s">
        <v>33</v>
      </c>
      <c r="B325" s="23"/>
      <c r="C325" s="38">
        <v>487400</v>
      </c>
      <c r="D325" s="34" t="s">
        <v>52</v>
      </c>
      <c r="E325" s="207">
        <v>87000</v>
      </c>
      <c r="F325" s="207">
        <f t="shared" si="44"/>
        <v>-9000</v>
      </c>
      <c r="G325" s="207">
        <v>78000</v>
      </c>
      <c r="H325" s="207">
        <f t="shared" si="42"/>
        <v>89.65517241379311</v>
      </c>
      <c r="I325" s="318">
        <f t="shared" si="43"/>
        <v>0.3363362265291753</v>
      </c>
      <c r="K325" s="207">
        <v>78000</v>
      </c>
      <c r="L325" s="207">
        <v>87000</v>
      </c>
      <c r="M325" s="511">
        <f t="shared" si="38"/>
        <v>-9000</v>
      </c>
    </row>
    <row r="326" spans="1:13" ht="12.75" customHeight="1">
      <c r="A326" s="137" t="s">
        <v>33</v>
      </c>
      <c r="B326" s="33"/>
      <c r="C326" s="38">
        <v>487400</v>
      </c>
      <c r="D326" s="34" t="s">
        <v>221</v>
      </c>
      <c r="E326" s="207">
        <v>64000</v>
      </c>
      <c r="F326" s="207">
        <f t="shared" si="44"/>
        <v>-7500</v>
      </c>
      <c r="G326" s="207">
        <v>56500</v>
      </c>
      <c r="H326" s="207">
        <f t="shared" si="42"/>
        <v>88.28125</v>
      </c>
      <c r="I326" s="318">
        <f t="shared" si="43"/>
        <v>0.2436281640884411</v>
      </c>
      <c r="K326" s="207">
        <v>56500</v>
      </c>
      <c r="L326" s="207">
        <v>64000</v>
      </c>
      <c r="M326" s="511">
        <f t="shared" si="38"/>
        <v>-7500</v>
      </c>
    </row>
    <row r="327" spans="1:13" ht="12.75" customHeight="1">
      <c r="A327" s="137"/>
      <c r="B327" s="23">
        <v>419000</v>
      </c>
      <c r="C327" s="17"/>
      <c r="D327" s="32" t="s">
        <v>390</v>
      </c>
      <c r="E327" s="187">
        <f>SUM(E328)</f>
        <v>0</v>
      </c>
      <c r="F327" s="187">
        <f>SUM(F328)</f>
        <v>1310</v>
      </c>
      <c r="G327" s="187">
        <f>SUM(G328)</f>
        <v>1310</v>
      </c>
      <c r="H327" s="187">
        <f t="shared" si="42"/>
        <v>0</v>
      </c>
      <c r="I327" s="315">
        <f t="shared" si="43"/>
        <v>0.005648723804528457</v>
      </c>
      <c r="K327" s="187">
        <f>SUM(K328)</f>
        <v>1310</v>
      </c>
      <c r="L327" s="187">
        <f>SUM(L328)</f>
        <v>1310</v>
      </c>
      <c r="M327" s="511">
        <f t="shared" si="38"/>
        <v>0</v>
      </c>
    </row>
    <row r="328" spans="1:13" ht="12.75" customHeight="1">
      <c r="A328" s="137" t="s">
        <v>33</v>
      </c>
      <c r="B328" s="33"/>
      <c r="C328" s="17">
        <v>419100</v>
      </c>
      <c r="D328" s="33" t="s">
        <v>390</v>
      </c>
      <c r="E328" s="196">
        <v>0</v>
      </c>
      <c r="F328" s="196">
        <f t="shared" si="44"/>
        <v>1310</v>
      </c>
      <c r="G328" s="196">
        <v>1310</v>
      </c>
      <c r="H328" s="207">
        <f t="shared" si="42"/>
        <v>0</v>
      </c>
      <c r="I328" s="318">
        <f t="shared" si="43"/>
        <v>0.005648723804528457</v>
      </c>
      <c r="K328" s="196">
        <v>1310</v>
      </c>
      <c r="L328" s="196">
        <v>1310</v>
      </c>
      <c r="M328" s="511">
        <f t="shared" si="38"/>
        <v>0</v>
      </c>
    </row>
    <row r="329" spans="1:13" ht="14.25" customHeight="1">
      <c r="A329" s="137"/>
      <c r="B329" s="23">
        <v>511000</v>
      </c>
      <c r="C329" s="17"/>
      <c r="D329" s="32" t="s">
        <v>160</v>
      </c>
      <c r="E329" s="187">
        <f>SUM(E330:E330)</f>
        <v>3000</v>
      </c>
      <c r="F329" s="187">
        <f>SUM(F330:F331)</f>
        <v>550</v>
      </c>
      <c r="G329" s="187">
        <f>SUM(G330:G331)</f>
        <v>3550</v>
      </c>
      <c r="H329" s="187">
        <f t="shared" si="42"/>
        <v>118.33333333333333</v>
      </c>
      <c r="I329" s="315">
        <f t="shared" si="43"/>
        <v>0.015307610309981698</v>
      </c>
      <c r="K329" s="187">
        <f>SUM(K330:K331)</f>
        <v>4550</v>
      </c>
      <c r="L329" s="187">
        <f>SUM(L330:L331)</f>
        <v>1550</v>
      </c>
      <c r="M329" s="511">
        <f t="shared" si="38"/>
        <v>2000</v>
      </c>
    </row>
    <row r="330" spans="1:13" ht="12.75" customHeight="1">
      <c r="A330" s="137">
        <v>1090</v>
      </c>
      <c r="B330" s="33"/>
      <c r="C330" s="17">
        <v>511300</v>
      </c>
      <c r="D330" s="33" t="s">
        <v>2</v>
      </c>
      <c r="E330" s="196">
        <v>3000</v>
      </c>
      <c r="F330" s="196">
        <f t="shared" si="44"/>
        <v>-1450</v>
      </c>
      <c r="G330" s="196">
        <v>1550</v>
      </c>
      <c r="H330" s="207">
        <f t="shared" si="42"/>
        <v>51.66666666666667</v>
      </c>
      <c r="I330" s="318">
        <f t="shared" si="43"/>
        <v>0.006683604501541303</v>
      </c>
      <c r="K330" s="196">
        <v>1550</v>
      </c>
      <c r="L330" s="196">
        <v>1550</v>
      </c>
      <c r="M330" s="511">
        <f t="shared" si="38"/>
        <v>0</v>
      </c>
    </row>
    <row r="331" spans="1:13" ht="12.75" customHeight="1">
      <c r="A331" s="204" t="s">
        <v>33</v>
      </c>
      <c r="B331" s="33"/>
      <c r="C331" s="17">
        <v>511200</v>
      </c>
      <c r="D331" s="519" t="s">
        <v>585</v>
      </c>
      <c r="E331" s="196">
        <v>0</v>
      </c>
      <c r="F331" s="196">
        <f t="shared" si="44"/>
        <v>2000</v>
      </c>
      <c r="G331" s="270">
        <v>2000</v>
      </c>
      <c r="H331" s="207">
        <f t="shared" si="42"/>
        <v>0</v>
      </c>
      <c r="I331" s="318">
        <f t="shared" si="43"/>
        <v>0.008624005808440392</v>
      </c>
      <c r="K331" s="196">
        <v>3000</v>
      </c>
      <c r="L331" s="196">
        <v>0</v>
      </c>
      <c r="M331" s="511"/>
    </row>
    <row r="332" spans="1:13" ht="24" customHeight="1">
      <c r="A332" s="204"/>
      <c r="B332" s="23">
        <v>516000</v>
      </c>
      <c r="C332" s="33"/>
      <c r="D332" s="32" t="s">
        <v>365</v>
      </c>
      <c r="E332" s="65">
        <f>SUM(E333)</f>
        <v>0</v>
      </c>
      <c r="F332" s="65">
        <f>SUM(F333)</f>
        <v>1450</v>
      </c>
      <c r="G332" s="65">
        <f>SUM(G333)</f>
        <v>1450</v>
      </c>
      <c r="H332" s="187">
        <f t="shared" si="42"/>
        <v>0</v>
      </c>
      <c r="I332" s="315">
        <f t="shared" si="43"/>
        <v>0.006252404211119284</v>
      </c>
      <c r="K332" s="65">
        <f>SUM(K333)</f>
        <v>1450</v>
      </c>
      <c r="L332" s="65">
        <f>SUM(L333)</f>
        <v>1450</v>
      </c>
      <c r="M332" s="511">
        <f t="shared" si="38"/>
        <v>0</v>
      </c>
    </row>
    <row r="333" spans="1:13" ht="15.75" customHeight="1">
      <c r="A333" s="204" t="s">
        <v>33</v>
      </c>
      <c r="B333" s="33"/>
      <c r="C333" s="33">
        <v>516100</v>
      </c>
      <c r="D333" s="30" t="s">
        <v>345</v>
      </c>
      <c r="E333" s="196">
        <v>0</v>
      </c>
      <c r="F333" s="196">
        <f t="shared" si="44"/>
        <v>1450</v>
      </c>
      <c r="G333" s="196">
        <v>1450</v>
      </c>
      <c r="H333" s="207">
        <f t="shared" si="42"/>
        <v>0</v>
      </c>
      <c r="I333" s="318">
        <f t="shared" si="43"/>
        <v>0.006252404211119284</v>
      </c>
      <c r="K333" s="196">
        <v>1450</v>
      </c>
      <c r="L333" s="196">
        <v>1450</v>
      </c>
      <c r="M333" s="511">
        <f t="shared" si="38"/>
        <v>0</v>
      </c>
    </row>
    <row r="334" spans="1:13" ht="24" customHeight="1">
      <c r="A334" s="204"/>
      <c r="B334" s="23">
        <v>638000</v>
      </c>
      <c r="C334" s="17"/>
      <c r="D334" s="32" t="s">
        <v>406</v>
      </c>
      <c r="E334" s="65">
        <f>SUM(E335)</f>
        <v>4000</v>
      </c>
      <c r="F334" s="65">
        <f>SUM(F335)</f>
        <v>-3000</v>
      </c>
      <c r="G334" s="65">
        <f>SUM(G335)</f>
        <v>1000</v>
      </c>
      <c r="H334" s="187">
        <f t="shared" si="42"/>
        <v>25</v>
      </c>
      <c r="I334" s="315">
        <f t="shared" si="43"/>
        <v>0.004312002904220196</v>
      </c>
      <c r="K334" s="65">
        <f>SUM(K335)</f>
        <v>1000</v>
      </c>
      <c r="L334" s="65">
        <f>SUM(L335)</f>
        <v>1000</v>
      </c>
      <c r="M334" s="511">
        <f aca="true" t="shared" si="45" ref="M334:M397">G334-L334</f>
        <v>0</v>
      </c>
    </row>
    <row r="335" spans="1:13" ht="36" customHeight="1">
      <c r="A335" s="137"/>
      <c r="B335" s="33"/>
      <c r="C335" s="17">
        <v>638100</v>
      </c>
      <c r="D335" s="30" t="s">
        <v>407</v>
      </c>
      <c r="E335" s="196">
        <v>4000</v>
      </c>
      <c r="F335" s="196">
        <f t="shared" si="44"/>
        <v>-3000</v>
      </c>
      <c r="G335" s="196">
        <v>1000</v>
      </c>
      <c r="H335" s="207">
        <f t="shared" si="42"/>
        <v>25</v>
      </c>
      <c r="I335" s="318">
        <f t="shared" si="43"/>
        <v>0.004312002904220196</v>
      </c>
      <c r="K335" s="196">
        <v>1000</v>
      </c>
      <c r="L335" s="196">
        <v>1000</v>
      </c>
      <c r="M335" s="511">
        <f t="shared" si="45"/>
        <v>0</v>
      </c>
    </row>
    <row r="336" spans="1:13" ht="30" customHeight="1">
      <c r="A336" s="548"/>
      <c r="B336" s="549"/>
      <c r="C336" s="550" t="s">
        <v>92</v>
      </c>
      <c r="D336" s="551"/>
      <c r="E336" s="347">
        <f>E302+E307+E315+E327+E329+E332+E334</f>
        <v>2752450</v>
      </c>
      <c r="F336" s="347">
        <f>F302+F307+F315+F327+F329+F332+F334</f>
        <v>35500</v>
      </c>
      <c r="G336" s="347">
        <f>G302+G307+G315+G327+G329+G332+G334</f>
        <v>2787950</v>
      </c>
      <c r="H336" s="348">
        <f t="shared" si="42"/>
        <v>101.28976003197153</v>
      </c>
      <c r="I336" s="349">
        <f t="shared" si="43"/>
        <v>12.021648496820696</v>
      </c>
      <c r="K336" s="347">
        <f>K302+K307+K315+K327+K329+K332+K334</f>
        <v>2788950</v>
      </c>
      <c r="L336" s="347">
        <f>L302+L307+L315+L327+L329+L332+L334</f>
        <v>2767650</v>
      </c>
      <c r="M336" s="511">
        <f t="shared" si="45"/>
        <v>20300</v>
      </c>
    </row>
    <row r="337" spans="1:13" ht="9.75" customHeight="1">
      <c r="A337" s="548"/>
      <c r="B337" s="549"/>
      <c r="C337" s="560" t="s">
        <v>360</v>
      </c>
      <c r="D337" s="561"/>
      <c r="E337" s="172"/>
      <c r="F337" s="172"/>
      <c r="G337" s="172"/>
      <c r="H337" s="172"/>
      <c r="I337" s="369"/>
      <c r="K337" s="172"/>
      <c r="L337" s="172"/>
      <c r="M337" s="511">
        <f t="shared" si="45"/>
        <v>0</v>
      </c>
    </row>
    <row r="338" spans="1:13" ht="9.75" customHeight="1">
      <c r="A338" s="548"/>
      <c r="B338" s="549"/>
      <c r="C338" s="562"/>
      <c r="D338" s="561"/>
      <c r="E338" s="173"/>
      <c r="F338" s="173"/>
      <c r="G338" s="173"/>
      <c r="H338" s="173"/>
      <c r="I338" s="370"/>
      <c r="K338" s="173"/>
      <c r="L338" s="173"/>
      <c r="M338" s="511">
        <f t="shared" si="45"/>
        <v>0</v>
      </c>
    </row>
    <row r="339" spans="1:13" ht="19.5" customHeight="1">
      <c r="A339" s="548"/>
      <c r="B339" s="549"/>
      <c r="C339" s="562"/>
      <c r="D339" s="561"/>
      <c r="E339" s="174"/>
      <c r="F339" s="174"/>
      <c r="G339" s="174"/>
      <c r="H339" s="174"/>
      <c r="I339" s="371"/>
      <c r="K339" s="174"/>
      <c r="L339" s="174"/>
      <c r="M339" s="511">
        <f t="shared" si="45"/>
        <v>0</v>
      </c>
    </row>
    <row r="340" spans="1:13" ht="14.25" customHeight="1">
      <c r="A340" s="137"/>
      <c r="B340" s="23">
        <v>411000</v>
      </c>
      <c r="C340" s="25"/>
      <c r="D340" s="36" t="s">
        <v>409</v>
      </c>
      <c r="E340" s="357">
        <f>SUM(E341)</f>
        <v>10000</v>
      </c>
      <c r="F340" s="357">
        <f>SUM(F341)</f>
        <v>4630</v>
      </c>
      <c r="G340" s="357">
        <f>SUM(G341)</f>
        <v>14630</v>
      </c>
      <c r="H340" s="357">
        <f aca="true" t="shared" si="46" ref="H340:H356">IF(E340&gt;0,G340/E340*100,0)</f>
        <v>146.3</v>
      </c>
      <c r="I340" s="358">
        <f aca="true" t="shared" si="47" ref="I340:I356">G340/$G$502*100</f>
        <v>0.06308460248874147</v>
      </c>
      <c r="K340" s="357">
        <f>SUM(K341)</f>
        <v>14628.89</v>
      </c>
      <c r="L340" s="357">
        <f>SUM(L341)</f>
        <v>10195.55</v>
      </c>
      <c r="M340" s="511">
        <f t="shared" si="45"/>
        <v>4434.450000000001</v>
      </c>
    </row>
    <row r="341" spans="1:13" ht="12.75">
      <c r="A341" s="137" t="s">
        <v>32</v>
      </c>
      <c r="B341" s="33"/>
      <c r="C341" s="17">
        <v>411200</v>
      </c>
      <c r="D341" s="29" t="s">
        <v>3</v>
      </c>
      <c r="E341" s="196">
        <v>10000</v>
      </c>
      <c r="F341" s="196">
        <f aca="true" t="shared" si="48" ref="F341:F355">G341-E341</f>
        <v>4630</v>
      </c>
      <c r="G341" s="196">
        <v>14630</v>
      </c>
      <c r="H341" s="207">
        <f t="shared" si="46"/>
        <v>146.3</v>
      </c>
      <c r="I341" s="318">
        <f t="shared" si="47"/>
        <v>0.06308460248874147</v>
      </c>
      <c r="K341" s="196">
        <v>14628.89</v>
      </c>
      <c r="L341" s="196">
        <v>10195.55</v>
      </c>
      <c r="M341" s="511">
        <f t="shared" si="45"/>
        <v>4434.450000000001</v>
      </c>
    </row>
    <row r="342" spans="1:13" ht="14.25" customHeight="1">
      <c r="A342" s="137"/>
      <c r="B342" s="23">
        <v>412000</v>
      </c>
      <c r="C342" s="17"/>
      <c r="D342" s="36" t="s">
        <v>142</v>
      </c>
      <c r="E342" s="187">
        <f>SUM(E343:E351)</f>
        <v>61000</v>
      </c>
      <c r="F342" s="187">
        <f>SUM(F343:F351)</f>
        <v>3355</v>
      </c>
      <c r="G342" s="187">
        <f>SUM(G343:G351)</f>
        <v>64355</v>
      </c>
      <c r="H342" s="187">
        <f t="shared" si="46"/>
        <v>105.5</v>
      </c>
      <c r="I342" s="315">
        <f t="shared" si="47"/>
        <v>0.2774989469010907</v>
      </c>
      <c r="K342" s="187">
        <f>SUM(K343:K351)</f>
        <v>64353.45</v>
      </c>
      <c r="L342" s="187">
        <f>SUM(L343:L351)</f>
        <v>62864.45</v>
      </c>
      <c r="M342" s="511">
        <f t="shared" si="45"/>
        <v>1490.550000000003</v>
      </c>
    </row>
    <row r="343" spans="1:13" ht="24.75" customHeight="1">
      <c r="A343" s="137" t="s">
        <v>32</v>
      </c>
      <c r="B343" s="23"/>
      <c r="C343" s="17">
        <v>412200</v>
      </c>
      <c r="D343" s="30" t="s">
        <v>144</v>
      </c>
      <c r="E343" s="196">
        <v>36000</v>
      </c>
      <c r="F343" s="196">
        <f t="shared" si="48"/>
        <v>1490</v>
      </c>
      <c r="G343" s="196">
        <v>37490</v>
      </c>
      <c r="H343" s="207">
        <f t="shared" si="46"/>
        <v>104.13888888888889</v>
      </c>
      <c r="I343" s="318">
        <f t="shared" si="47"/>
        <v>0.16165698887921515</v>
      </c>
      <c r="K343" s="196">
        <v>37489</v>
      </c>
      <c r="L343" s="196">
        <v>36000</v>
      </c>
      <c r="M343" s="511">
        <f t="shared" si="45"/>
        <v>1490</v>
      </c>
    </row>
    <row r="344" spans="1:13" ht="24.75" customHeight="1">
      <c r="A344" s="137" t="s">
        <v>32</v>
      </c>
      <c r="B344" s="23"/>
      <c r="C344" s="17">
        <v>412200</v>
      </c>
      <c r="D344" s="34" t="s">
        <v>558</v>
      </c>
      <c r="E344" s="196">
        <v>0</v>
      </c>
      <c r="F344" s="196">
        <f t="shared" si="48"/>
        <v>800</v>
      </c>
      <c r="G344" s="196">
        <v>800</v>
      </c>
      <c r="H344" s="207">
        <f>IF(E344&gt;0,G344/E344*100,0)</f>
        <v>0</v>
      </c>
      <c r="I344" s="318">
        <f t="shared" si="47"/>
        <v>0.003449602323376157</v>
      </c>
      <c r="K344" s="196">
        <v>800</v>
      </c>
      <c r="L344" s="196">
        <v>800</v>
      </c>
      <c r="M344" s="511">
        <f t="shared" si="45"/>
        <v>0</v>
      </c>
    </row>
    <row r="345" spans="1:13" ht="12.75">
      <c r="A345" s="137" t="s">
        <v>32</v>
      </c>
      <c r="B345" s="23"/>
      <c r="C345" s="17">
        <v>412300</v>
      </c>
      <c r="D345" s="47" t="s">
        <v>145</v>
      </c>
      <c r="E345" s="196">
        <v>3000</v>
      </c>
      <c r="F345" s="196">
        <f t="shared" si="48"/>
        <v>-285</v>
      </c>
      <c r="G345" s="196">
        <v>2715</v>
      </c>
      <c r="H345" s="207">
        <f t="shared" si="46"/>
        <v>90.5</v>
      </c>
      <c r="I345" s="318">
        <f t="shared" si="47"/>
        <v>0.011707087884957832</v>
      </c>
      <c r="K345" s="196">
        <v>2715</v>
      </c>
      <c r="L345" s="196">
        <v>2715</v>
      </c>
      <c r="M345" s="511">
        <f t="shared" si="45"/>
        <v>0</v>
      </c>
    </row>
    <row r="346" spans="1:13" ht="12.75">
      <c r="A346" s="137" t="s">
        <v>32</v>
      </c>
      <c r="B346" s="23"/>
      <c r="C346" s="17">
        <v>412400</v>
      </c>
      <c r="D346" s="34" t="s">
        <v>146</v>
      </c>
      <c r="E346" s="196">
        <v>4000</v>
      </c>
      <c r="F346" s="196">
        <f t="shared" si="48"/>
        <v>0</v>
      </c>
      <c r="G346" s="196">
        <v>4000</v>
      </c>
      <c r="H346" s="207">
        <f t="shared" si="46"/>
        <v>100</v>
      </c>
      <c r="I346" s="318">
        <f t="shared" si="47"/>
        <v>0.017248011616880783</v>
      </c>
      <c r="K346" s="196">
        <v>4000</v>
      </c>
      <c r="L346" s="196">
        <v>4000</v>
      </c>
      <c r="M346" s="511">
        <f t="shared" si="45"/>
        <v>0</v>
      </c>
    </row>
    <row r="347" spans="1:13" ht="15" customHeight="1">
      <c r="A347" s="137" t="s">
        <v>32</v>
      </c>
      <c r="B347" s="23"/>
      <c r="C347" s="17">
        <v>412400</v>
      </c>
      <c r="D347" s="34" t="s">
        <v>559</v>
      </c>
      <c r="E347" s="196">
        <v>0</v>
      </c>
      <c r="F347" s="196">
        <f t="shared" si="48"/>
        <v>200</v>
      </c>
      <c r="G347" s="196">
        <v>200</v>
      </c>
      <c r="H347" s="207">
        <f t="shared" si="46"/>
        <v>0</v>
      </c>
      <c r="I347" s="318">
        <f t="shared" si="47"/>
        <v>0.0008624005808440392</v>
      </c>
      <c r="K347" s="196">
        <v>200</v>
      </c>
      <c r="L347" s="196">
        <v>200</v>
      </c>
      <c r="M347" s="511">
        <f t="shared" si="45"/>
        <v>0</v>
      </c>
    </row>
    <row r="348" spans="1:13" ht="12.75">
      <c r="A348" s="137" t="s">
        <v>32</v>
      </c>
      <c r="B348" s="23"/>
      <c r="C348" s="17">
        <v>412500</v>
      </c>
      <c r="D348" s="33" t="s">
        <v>147</v>
      </c>
      <c r="E348" s="196">
        <v>5000</v>
      </c>
      <c r="F348" s="196">
        <f t="shared" si="48"/>
        <v>-400</v>
      </c>
      <c r="G348" s="196">
        <v>4600</v>
      </c>
      <c r="H348" s="207">
        <f t="shared" si="46"/>
        <v>92</v>
      </c>
      <c r="I348" s="318">
        <f t="shared" si="47"/>
        <v>0.0198352133594129</v>
      </c>
      <c r="K348" s="196">
        <v>4600</v>
      </c>
      <c r="L348" s="196">
        <v>4600</v>
      </c>
      <c r="M348" s="511">
        <f t="shared" si="45"/>
        <v>0</v>
      </c>
    </row>
    <row r="349" spans="1:13" ht="12.75">
      <c r="A349" s="137" t="s">
        <v>32</v>
      </c>
      <c r="B349" s="23"/>
      <c r="C349" s="17">
        <v>412600</v>
      </c>
      <c r="D349" s="33" t="s">
        <v>148</v>
      </c>
      <c r="E349" s="196">
        <v>2000</v>
      </c>
      <c r="F349" s="196">
        <f t="shared" si="48"/>
        <v>0</v>
      </c>
      <c r="G349" s="196">
        <v>2000</v>
      </c>
      <c r="H349" s="207">
        <f t="shared" si="46"/>
        <v>100</v>
      </c>
      <c r="I349" s="318">
        <f t="shared" si="47"/>
        <v>0.008624005808440392</v>
      </c>
      <c r="K349" s="196">
        <v>2000</v>
      </c>
      <c r="L349" s="196">
        <v>2000</v>
      </c>
      <c r="M349" s="511">
        <f t="shared" si="45"/>
        <v>0</v>
      </c>
    </row>
    <row r="350" spans="1:13" ht="12.75">
      <c r="A350" s="137" t="s">
        <v>32</v>
      </c>
      <c r="B350" s="23"/>
      <c r="C350" s="78">
        <v>412700</v>
      </c>
      <c r="D350" s="78" t="s">
        <v>149</v>
      </c>
      <c r="E350" s="196">
        <v>4000</v>
      </c>
      <c r="F350" s="196">
        <f t="shared" si="48"/>
        <v>-695</v>
      </c>
      <c r="G350" s="196">
        <v>3305</v>
      </c>
      <c r="H350" s="207">
        <f t="shared" si="46"/>
        <v>82.625</v>
      </c>
      <c r="I350" s="318">
        <f t="shared" si="47"/>
        <v>0.014251169598447747</v>
      </c>
      <c r="K350" s="196">
        <v>3304.45</v>
      </c>
      <c r="L350" s="196">
        <v>3304.45</v>
      </c>
      <c r="M350" s="511">
        <f t="shared" si="45"/>
        <v>0.5500000000001819</v>
      </c>
    </row>
    <row r="351" spans="1:13" ht="12.75">
      <c r="A351" s="137" t="s">
        <v>32</v>
      </c>
      <c r="B351" s="23"/>
      <c r="C351" s="78">
        <v>412900</v>
      </c>
      <c r="D351" s="78" t="s">
        <v>151</v>
      </c>
      <c r="E351" s="196">
        <v>7000</v>
      </c>
      <c r="F351" s="196">
        <f t="shared" si="48"/>
        <v>2245</v>
      </c>
      <c r="G351" s="196">
        <v>9245</v>
      </c>
      <c r="H351" s="207">
        <f t="shared" si="46"/>
        <v>132.07142857142858</v>
      </c>
      <c r="I351" s="318">
        <f t="shared" si="47"/>
        <v>0.03986446684951571</v>
      </c>
      <c r="K351" s="196">
        <v>9245</v>
      </c>
      <c r="L351" s="196">
        <v>9245</v>
      </c>
      <c r="M351" s="511">
        <f t="shared" si="45"/>
        <v>0</v>
      </c>
    </row>
    <row r="352" spans="1:13" ht="14.25" customHeight="1">
      <c r="A352" s="137"/>
      <c r="B352" s="23">
        <v>511000</v>
      </c>
      <c r="C352" s="33"/>
      <c r="D352" s="32" t="s">
        <v>160</v>
      </c>
      <c r="E352" s="249">
        <f>SUM(E353:E353)</f>
        <v>3000</v>
      </c>
      <c r="F352" s="249">
        <f>SUM(F353:F353)</f>
        <v>-1489</v>
      </c>
      <c r="G352" s="249">
        <f>SUM(G353:G353)</f>
        <v>1511</v>
      </c>
      <c r="H352" s="187">
        <f t="shared" si="46"/>
        <v>50.366666666666674</v>
      </c>
      <c r="I352" s="315">
        <f t="shared" si="47"/>
        <v>0.006515436388276716</v>
      </c>
      <c r="K352" s="249">
        <f>SUM(K353:K353)</f>
        <v>1511</v>
      </c>
      <c r="L352" s="249">
        <f>SUM(L353:L353)</f>
        <v>3000</v>
      </c>
      <c r="M352" s="511">
        <f t="shared" si="45"/>
        <v>-1489</v>
      </c>
    </row>
    <row r="353" spans="1:13" ht="12.75">
      <c r="A353" s="137" t="s">
        <v>32</v>
      </c>
      <c r="B353" s="33"/>
      <c r="C353" s="33">
        <v>511300</v>
      </c>
      <c r="D353" s="33" t="s">
        <v>2</v>
      </c>
      <c r="E353" s="196">
        <v>3000</v>
      </c>
      <c r="F353" s="196">
        <f t="shared" si="48"/>
        <v>-1489</v>
      </c>
      <c r="G353" s="196">
        <v>1511</v>
      </c>
      <c r="H353" s="207">
        <f t="shared" si="46"/>
        <v>50.366666666666674</v>
      </c>
      <c r="I353" s="318">
        <f t="shared" si="47"/>
        <v>0.006515436388276716</v>
      </c>
      <c r="K353" s="196">
        <v>1511</v>
      </c>
      <c r="L353" s="196">
        <v>3000</v>
      </c>
      <c r="M353" s="511">
        <f t="shared" si="45"/>
        <v>-1489</v>
      </c>
    </row>
    <row r="354" spans="1:13" ht="24">
      <c r="A354" s="204"/>
      <c r="B354" s="23">
        <v>516000</v>
      </c>
      <c r="C354" s="33"/>
      <c r="D354" s="32" t="s">
        <v>365</v>
      </c>
      <c r="E354" s="249">
        <f>SUM(E355)</f>
        <v>500</v>
      </c>
      <c r="F354" s="249">
        <f>SUM(F355)</f>
        <v>0</v>
      </c>
      <c r="G354" s="249">
        <f>SUM(G355)</f>
        <v>500</v>
      </c>
      <c r="H354" s="187">
        <f t="shared" si="46"/>
        <v>100</v>
      </c>
      <c r="I354" s="315">
        <f t="shared" si="47"/>
        <v>0.002156001452110098</v>
      </c>
      <c r="K354" s="249">
        <f>SUM(K355)</f>
        <v>500</v>
      </c>
      <c r="L354" s="249">
        <f>SUM(L355)</f>
        <v>500</v>
      </c>
      <c r="M354" s="511">
        <f t="shared" si="45"/>
        <v>0</v>
      </c>
    </row>
    <row r="355" spans="1:13" ht="14.25" customHeight="1">
      <c r="A355" s="137" t="s">
        <v>32</v>
      </c>
      <c r="B355" s="33"/>
      <c r="C355" s="33">
        <v>516100</v>
      </c>
      <c r="D355" s="30" t="s">
        <v>345</v>
      </c>
      <c r="E355" s="196">
        <v>500</v>
      </c>
      <c r="F355" s="196">
        <f t="shared" si="48"/>
        <v>0</v>
      </c>
      <c r="G355" s="196">
        <v>500</v>
      </c>
      <c r="H355" s="207">
        <f t="shared" si="46"/>
        <v>100</v>
      </c>
      <c r="I355" s="318">
        <f t="shared" si="47"/>
        <v>0.002156001452110098</v>
      </c>
      <c r="K355" s="196">
        <v>500</v>
      </c>
      <c r="L355" s="196">
        <v>500</v>
      </c>
      <c r="M355" s="511">
        <f t="shared" si="45"/>
        <v>0</v>
      </c>
    </row>
    <row r="356" spans="1:13" ht="24.75" customHeight="1">
      <c r="A356" s="556"/>
      <c r="B356" s="557"/>
      <c r="C356" s="550" t="s">
        <v>93</v>
      </c>
      <c r="D356" s="550"/>
      <c r="E356" s="71">
        <f>E340+E342+E352+E354</f>
        <v>74500</v>
      </c>
      <c r="F356" s="71">
        <f>F340+F342+F352+F354</f>
        <v>6496</v>
      </c>
      <c r="G356" s="71">
        <f>G340+G342+G352+G354</f>
        <v>80996</v>
      </c>
      <c r="H356" s="323">
        <f t="shared" si="46"/>
        <v>108.71946308724831</v>
      </c>
      <c r="I356" s="325">
        <f t="shared" si="47"/>
        <v>0.34925498723021897</v>
      </c>
      <c r="K356" s="71">
        <f>K340+K342+K352+K354</f>
        <v>80993.34</v>
      </c>
      <c r="L356" s="71">
        <f>L340+L342+L352+L354</f>
        <v>76560</v>
      </c>
      <c r="M356" s="511">
        <f t="shared" si="45"/>
        <v>4436</v>
      </c>
    </row>
    <row r="357" spans="1:13" ht="9.75" customHeight="1">
      <c r="A357" s="556"/>
      <c r="B357" s="557"/>
      <c r="C357" s="560" t="s">
        <v>279</v>
      </c>
      <c r="D357" s="561"/>
      <c r="E357" s="175"/>
      <c r="F357" s="175"/>
      <c r="G357" s="175"/>
      <c r="H357" s="175"/>
      <c r="I357" s="372"/>
      <c r="K357" s="175"/>
      <c r="L357" s="175"/>
      <c r="M357" s="511">
        <f t="shared" si="45"/>
        <v>0</v>
      </c>
    </row>
    <row r="358" spans="1:13" ht="30" customHeight="1">
      <c r="A358" s="556"/>
      <c r="B358" s="557"/>
      <c r="C358" s="562"/>
      <c r="D358" s="561"/>
      <c r="E358" s="177"/>
      <c r="F358" s="177"/>
      <c r="G358" s="177"/>
      <c r="H358" s="177"/>
      <c r="I358" s="374"/>
      <c r="K358" s="177"/>
      <c r="L358" s="177"/>
      <c r="M358" s="511">
        <f t="shared" si="45"/>
        <v>0</v>
      </c>
    </row>
    <row r="359" spans="1:13" ht="14.25" customHeight="1">
      <c r="A359" s="28"/>
      <c r="B359" s="23">
        <v>411000</v>
      </c>
      <c r="C359" s="25"/>
      <c r="D359" s="36" t="s">
        <v>409</v>
      </c>
      <c r="E359" s="357">
        <f>SUM(E360)</f>
        <v>28000</v>
      </c>
      <c r="F359" s="357">
        <f>SUM(F360)</f>
        <v>15200</v>
      </c>
      <c r="G359" s="357">
        <f>SUM(G360)</f>
        <v>43200</v>
      </c>
      <c r="H359" s="357">
        <f aca="true" t="shared" si="49" ref="H359:H379">IF(E359&gt;0,G359/E359*100,0)</f>
        <v>154.2857142857143</v>
      </c>
      <c r="I359" s="358">
        <f aca="true" t="shared" si="50" ref="I359:I376">G359/$G$502*100</f>
        <v>0.18627852546231247</v>
      </c>
      <c r="K359" s="357">
        <f>SUM(K360)</f>
        <v>43200</v>
      </c>
      <c r="L359" s="357">
        <f>SUM(L360)</f>
        <v>29500</v>
      </c>
      <c r="M359" s="511">
        <f t="shared" si="45"/>
        <v>13700</v>
      </c>
    </row>
    <row r="360" spans="1:13" ht="14.25" customHeight="1">
      <c r="A360" s="137" t="s">
        <v>57</v>
      </c>
      <c r="B360" s="33"/>
      <c r="C360" s="17">
        <v>411200</v>
      </c>
      <c r="D360" s="29" t="s">
        <v>3</v>
      </c>
      <c r="E360" s="196">
        <v>28000</v>
      </c>
      <c r="F360" s="196">
        <f aca="true" t="shared" si="51" ref="F360:F378">G360-E360</f>
        <v>15200</v>
      </c>
      <c r="G360" s="196">
        <v>43200</v>
      </c>
      <c r="H360" s="207">
        <f t="shared" si="49"/>
        <v>154.2857142857143</v>
      </c>
      <c r="I360" s="318">
        <f t="shared" si="50"/>
        <v>0.18627852546231247</v>
      </c>
      <c r="K360" s="196">
        <v>43200</v>
      </c>
      <c r="L360" s="196">
        <v>29500</v>
      </c>
      <c r="M360" s="511">
        <f t="shared" si="45"/>
        <v>13700</v>
      </c>
    </row>
    <row r="361" spans="1:13" ht="14.25" customHeight="1">
      <c r="A361" s="28"/>
      <c r="B361" s="23">
        <v>412000</v>
      </c>
      <c r="C361" s="17"/>
      <c r="D361" s="36" t="s">
        <v>142</v>
      </c>
      <c r="E361" s="187">
        <f>SUM(E362:E369)</f>
        <v>56000</v>
      </c>
      <c r="F361" s="187">
        <f>SUM(F362:F369)</f>
        <v>-1701</v>
      </c>
      <c r="G361" s="187">
        <f>SUM(G362:G369)</f>
        <v>54299</v>
      </c>
      <c r="H361" s="187">
        <f t="shared" si="49"/>
        <v>96.96249999999999</v>
      </c>
      <c r="I361" s="315">
        <f t="shared" si="50"/>
        <v>0.23413744569625242</v>
      </c>
      <c r="K361" s="187">
        <f>SUM(K362:K369)</f>
        <v>54298.36</v>
      </c>
      <c r="L361" s="187">
        <f>SUM(L362:L369)</f>
        <v>54298.36</v>
      </c>
      <c r="M361" s="511">
        <f t="shared" si="45"/>
        <v>0.6399999999994179</v>
      </c>
    </row>
    <row r="362" spans="1:13" ht="24">
      <c r="A362" s="91" t="s">
        <v>57</v>
      </c>
      <c r="B362" s="23"/>
      <c r="C362" s="17">
        <v>412200</v>
      </c>
      <c r="D362" s="30" t="s">
        <v>144</v>
      </c>
      <c r="E362" s="196">
        <v>21000</v>
      </c>
      <c r="F362" s="196">
        <f t="shared" si="51"/>
        <v>-1500</v>
      </c>
      <c r="G362" s="196">
        <v>19500</v>
      </c>
      <c r="H362" s="207">
        <f t="shared" si="49"/>
        <v>92.85714285714286</v>
      </c>
      <c r="I362" s="318">
        <f t="shared" si="50"/>
        <v>0.08408405663229382</v>
      </c>
      <c r="K362" s="196">
        <v>19500</v>
      </c>
      <c r="L362" s="196">
        <v>19500</v>
      </c>
      <c r="M362" s="511">
        <f t="shared" si="45"/>
        <v>0</v>
      </c>
    </row>
    <row r="363" spans="1:13" ht="24" customHeight="1">
      <c r="A363" s="91" t="s">
        <v>57</v>
      </c>
      <c r="B363" s="23"/>
      <c r="C363" s="17">
        <v>412200</v>
      </c>
      <c r="D363" s="34" t="s">
        <v>439</v>
      </c>
      <c r="E363" s="196">
        <v>0</v>
      </c>
      <c r="F363" s="196">
        <f t="shared" si="51"/>
        <v>375</v>
      </c>
      <c r="G363" s="196">
        <v>375</v>
      </c>
      <c r="H363" s="207">
        <f t="shared" si="49"/>
        <v>0</v>
      </c>
      <c r="I363" s="318">
        <f t="shared" si="50"/>
        <v>0.0016170010890825736</v>
      </c>
      <c r="K363" s="196">
        <v>375</v>
      </c>
      <c r="L363" s="196">
        <v>375</v>
      </c>
      <c r="M363" s="511">
        <f t="shared" si="45"/>
        <v>0</v>
      </c>
    </row>
    <row r="364" spans="1:13" ht="12.75">
      <c r="A364" s="91" t="s">
        <v>57</v>
      </c>
      <c r="B364" s="23"/>
      <c r="C364" s="17">
        <v>412300</v>
      </c>
      <c r="D364" s="33" t="s">
        <v>145</v>
      </c>
      <c r="E364" s="196">
        <v>3500</v>
      </c>
      <c r="F364" s="196">
        <f t="shared" si="51"/>
        <v>-785</v>
      </c>
      <c r="G364" s="196">
        <v>2715</v>
      </c>
      <c r="H364" s="207">
        <f t="shared" si="49"/>
        <v>77.57142857142857</v>
      </c>
      <c r="I364" s="318">
        <f t="shared" si="50"/>
        <v>0.011707087884957832</v>
      </c>
      <c r="K364" s="196">
        <v>2714.36</v>
      </c>
      <c r="L364" s="196">
        <v>2714.36</v>
      </c>
      <c r="M364" s="511">
        <f t="shared" si="45"/>
        <v>0.6399999999998727</v>
      </c>
    </row>
    <row r="365" spans="1:13" ht="12.75">
      <c r="A365" s="91" t="s">
        <v>57</v>
      </c>
      <c r="B365" s="23"/>
      <c r="C365" s="17">
        <v>412400</v>
      </c>
      <c r="D365" s="30" t="s">
        <v>146</v>
      </c>
      <c r="E365" s="196">
        <v>12000</v>
      </c>
      <c r="F365" s="196">
        <f t="shared" si="51"/>
        <v>490</v>
      </c>
      <c r="G365" s="196">
        <v>12490</v>
      </c>
      <c r="H365" s="207">
        <f t="shared" si="49"/>
        <v>104.08333333333333</v>
      </c>
      <c r="I365" s="318">
        <f t="shared" si="50"/>
        <v>0.05385691627371025</v>
      </c>
      <c r="K365" s="196">
        <v>12490</v>
      </c>
      <c r="L365" s="196">
        <v>12490</v>
      </c>
      <c r="M365" s="511">
        <f t="shared" si="45"/>
        <v>0</v>
      </c>
    </row>
    <row r="366" spans="1:13" ht="12.75">
      <c r="A366" s="91" t="s">
        <v>57</v>
      </c>
      <c r="B366" s="23"/>
      <c r="C366" s="17">
        <v>412500</v>
      </c>
      <c r="D366" s="33" t="s">
        <v>147</v>
      </c>
      <c r="E366" s="196">
        <v>5000</v>
      </c>
      <c r="F366" s="196">
        <f t="shared" si="51"/>
        <v>0</v>
      </c>
      <c r="G366" s="196">
        <v>5000</v>
      </c>
      <c r="H366" s="207">
        <f t="shared" si="49"/>
        <v>100</v>
      </c>
      <c r="I366" s="318">
        <f t="shared" si="50"/>
        <v>0.02156001452110098</v>
      </c>
      <c r="K366" s="196">
        <v>5000</v>
      </c>
      <c r="L366" s="196">
        <v>5000</v>
      </c>
      <c r="M366" s="511">
        <f t="shared" si="45"/>
        <v>0</v>
      </c>
    </row>
    <row r="367" spans="1:13" ht="12.75">
      <c r="A367" s="91" t="s">
        <v>57</v>
      </c>
      <c r="B367" s="23"/>
      <c r="C367" s="17">
        <v>412600</v>
      </c>
      <c r="D367" s="33" t="s">
        <v>148</v>
      </c>
      <c r="E367" s="196">
        <v>1500</v>
      </c>
      <c r="F367" s="196">
        <f t="shared" si="51"/>
        <v>0</v>
      </c>
      <c r="G367" s="196">
        <v>1500</v>
      </c>
      <c r="H367" s="207">
        <f t="shared" si="49"/>
        <v>100</v>
      </c>
      <c r="I367" s="318">
        <f t="shared" si="50"/>
        <v>0.0064680043563302946</v>
      </c>
      <c r="K367" s="196">
        <v>1500</v>
      </c>
      <c r="L367" s="196">
        <v>1500</v>
      </c>
      <c r="M367" s="511">
        <f t="shared" si="45"/>
        <v>0</v>
      </c>
    </row>
    <row r="368" spans="1:13" ht="12.75">
      <c r="A368" s="91" t="s">
        <v>57</v>
      </c>
      <c r="B368" s="23"/>
      <c r="C368" s="78">
        <v>412700</v>
      </c>
      <c r="D368" s="78" t="s">
        <v>149</v>
      </c>
      <c r="E368" s="184">
        <v>9000</v>
      </c>
      <c r="F368" s="184">
        <f t="shared" si="51"/>
        <v>1000</v>
      </c>
      <c r="G368" s="184">
        <v>10000</v>
      </c>
      <c r="H368" s="207">
        <f t="shared" si="49"/>
        <v>111.11111111111111</v>
      </c>
      <c r="I368" s="318">
        <f t="shared" si="50"/>
        <v>0.04312002904220196</v>
      </c>
      <c r="K368" s="184">
        <v>10000</v>
      </c>
      <c r="L368" s="184">
        <v>10000</v>
      </c>
      <c r="M368" s="511">
        <f t="shared" si="45"/>
        <v>0</v>
      </c>
    </row>
    <row r="369" spans="1:13" ht="12.75">
      <c r="A369" s="91" t="s">
        <v>57</v>
      </c>
      <c r="B369" s="23"/>
      <c r="C369" s="78">
        <v>412900</v>
      </c>
      <c r="D369" s="78" t="s">
        <v>151</v>
      </c>
      <c r="E369" s="196">
        <v>4000</v>
      </c>
      <c r="F369" s="196">
        <f t="shared" si="51"/>
        <v>-1281</v>
      </c>
      <c r="G369" s="196">
        <v>2719</v>
      </c>
      <c r="H369" s="207">
        <f t="shared" si="49"/>
        <v>67.975</v>
      </c>
      <c r="I369" s="318">
        <f t="shared" si="50"/>
        <v>0.011724335896574713</v>
      </c>
      <c r="K369" s="196">
        <v>2719</v>
      </c>
      <c r="L369" s="196">
        <v>2719</v>
      </c>
      <c r="M369" s="511">
        <f t="shared" si="45"/>
        <v>0</v>
      </c>
    </row>
    <row r="370" spans="1:13" ht="12.75">
      <c r="A370" s="91"/>
      <c r="B370" s="23">
        <v>419100</v>
      </c>
      <c r="C370" s="78"/>
      <c r="D370" s="35" t="s">
        <v>441</v>
      </c>
      <c r="E370" s="329">
        <f>E371</f>
        <v>4150</v>
      </c>
      <c r="F370" s="329">
        <f>F371</f>
        <v>0</v>
      </c>
      <c r="G370" s="329">
        <f>G371</f>
        <v>4150</v>
      </c>
      <c r="H370" s="329">
        <f t="shared" si="49"/>
        <v>100</v>
      </c>
      <c r="I370" s="330">
        <f t="shared" si="50"/>
        <v>0.017894812052513812</v>
      </c>
      <c r="K370" s="329">
        <f>K371</f>
        <v>4150</v>
      </c>
      <c r="L370" s="329">
        <f>L371</f>
        <v>4150</v>
      </c>
      <c r="M370" s="511">
        <f t="shared" si="45"/>
        <v>0</v>
      </c>
    </row>
    <row r="371" spans="1:13" ht="12.75">
      <c r="A371" s="91" t="s">
        <v>57</v>
      </c>
      <c r="B371" s="23"/>
      <c r="C371" s="78">
        <v>419100</v>
      </c>
      <c r="D371" s="33" t="s">
        <v>441</v>
      </c>
      <c r="E371" s="196">
        <v>4150</v>
      </c>
      <c r="F371" s="196">
        <f t="shared" si="51"/>
        <v>0</v>
      </c>
      <c r="G371" s="196">
        <v>4150</v>
      </c>
      <c r="H371" s="207">
        <f t="shared" si="49"/>
        <v>100</v>
      </c>
      <c r="I371" s="318">
        <f t="shared" si="50"/>
        <v>0.017894812052513812</v>
      </c>
      <c r="K371" s="196">
        <v>4150</v>
      </c>
      <c r="L371" s="196">
        <v>4150</v>
      </c>
      <c r="M371" s="511">
        <f t="shared" si="45"/>
        <v>0</v>
      </c>
    </row>
    <row r="372" spans="1:13" ht="14.25" customHeight="1">
      <c r="A372" s="137"/>
      <c r="B372" s="23">
        <v>511000</v>
      </c>
      <c r="C372" s="17"/>
      <c r="D372" s="32" t="s">
        <v>160</v>
      </c>
      <c r="E372" s="187">
        <f>SUM(E374:E376)</f>
        <v>3000</v>
      </c>
      <c r="F372" s="187">
        <f>SUM(F374:F376)</f>
        <v>1021</v>
      </c>
      <c r="G372" s="187">
        <f>SUM(G374:G376)</f>
        <v>4021</v>
      </c>
      <c r="H372" s="187">
        <f t="shared" si="49"/>
        <v>134.03333333333333</v>
      </c>
      <c r="I372" s="315">
        <f t="shared" si="50"/>
        <v>0.017338563677869408</v>
      </c>
      <c r="K372" s="187">
        <f>SUM(K374:K376)</f>
        <v>4020.5</v>
      </c>
      <c r="L372" s="187">
        <f>SUM(L374:L376)</f>
        <v>4020.5</v>
      </c>
      <c r="M372" s="511">
        <f t="shared" si="45"/>
        <v>0.5</v>
      </c>
    </row>
    <row r="373" spans="1:13" ht="26.25" customHeight="1" hidden="1">
      <c r="A373" s="137" t="s">
        <v>57</v>
      </c>
      <c r="B373" s="23"/>
      <c r="C373" s="17">
        <v>511200</v>
      </c>
      <c r="D373" s="30" t="s">
        <v>171</v>
      </c>
      <c r="E373" s="196"/>
      <c r="F373" s="196">
        <f t="shared" si="51"/>
        <v>0</v>
      </c>
      <c r="G373" s="196"/>
      <c r="H373" s="187">
        <f t="shared" si="49"/>
        <v>0</v>
      </c>
      <c r="I373" s="315">
        <f t="shared" si="50"/>
        <v>0</v>
      </c>
      <c r="K373" s="196"/>
      <c r="L373" s="196"/>
      <c r="M373" s="511">
        <f t="shared" si="45"/>
        <v>0</v>
      </c>
    </row>
    <row r="374" spans="1:13" ht="15.75" customHeight="1">
      <c r="A374" s="137" t="s">
        <v>57</v>
      </c>
      <c r="B374" s="33"/>
      <c r="C374" s="17">
        <v>511300</v>
      </c>
      <c r="D374" s="33" t="s">
        <v>2</v>
      </c>
      <c r="E374" s="196">
        <v>3000</v>
      </c>
      <c r="F374" s="196">
        <f t="shared" si="51"/>
        <v>0</v>
      </c>
      <c r="G374" s="196">
        <v>3000</v>
      </c>
      <c r="H374" s="207">
        <f t="shared" si="49"/>
        <v>100</v>
      </c>
      <c r="I374" s="318">
        <f t="shared" si="50"/>
        <v>0.012936008712660589</v>
      </c>
      <c r="J374" s="466"/>
      <c r="K374" s="196">
        <v>3000</v>
      </c>
      <c r="L374" s="196">
        <v>3000</v>
      </c>
      <c r="M374" s="511">
        <f t="shared" si="45"/>
        <v>0</v>
      </c>
    </row>
    <row r="375" spans="1:13" ht="24.75" customHeight="1" hidden="1">
      <c r="A375" s="137" t="s">
        <v>57</v>
      </c>
      <c r="B375" s="33"/>
      <c r="C375" s="17">
        <v>511300</v>
      </c>
      <c r="D375" s="30" t="s">
        <v>489</v>
      </c>
      <c r="E375" s="196">
        <v>0</v>
      </c>
      <c r="F375" s="196">
        <f t="shared" si="51"/>
        <v>0</v>
      </c>
      <c r="G375" s="196">
        <v>0</v>
      </c>
      <c r="H375" s="207">
        <f t="shared" si="49"/>
        <v>0</v>
      </c>
      <c r="I375" s="318">
        <f t="shared" si="50"/>
        <v>0</v>
      </c>
      <c r="K375" s="196"/>
      <c r="L375" s="196">
        <v>0</v>
      </c>
      <c r="M375" s="511">
        <f t="shared" si="45"/>
        <v>0</v>
      </c>
    </row>
    <row r="376" spans="1:13" ht="12" customHeight="1">
      <c r="A376" s="137" t="s">
        <v>57</v>
      </c>
      <c r="B376" s="33"/>
      <c r="C376" s="17">
        <v>511300</v>
      </c>
      <c r="D376" s="47" t="s">
        <v>440</v>
      </c>
      <c r="E376" s="196">
        <v>0</v>
      </c>
      <c r="F376" s="196">
        <f t="shared" si="51"/>
        <v>1021</v>
      </c>
      <c r="G376" s="196">
        <v>1021</v>
      </c>
      <c r="H376" s="207">
        <f t="shared" si="49"/>
        <v>0</v>
      </c>
      <c r="I376" s="318">
        <f t="shared" si="50"/>
        <v>0.00440255496520882</v>
      </c>
      <c r="K376" s="196">
        <v>1020.5</v>
      </c>
      <c r="L376" s="196">
        <v>1020.5</v>
      </c>
      <c r="M376" s="511">
        <f t="shared" si="45"/>
        <v>0.5</v>
      </c>
    </row>
    <row r="377" spans="1:13" ht="22.5" customHeight="1">
      <c r="A377" s="137"/>
      <c r="B377" s="23">
        <v>516000</v>
      </c>
      <c r="C377" s="17"/>
      <c r="D377" s="32" t="s">
        <v>365</v>
      </c>
      <c r="E377" s="187">
        <f>SUM(E378)</f>
        <v>0</v>
      </c>
      <c r="F377" s="187">
        <f>SUM(F378)</f>
        <v>136</v>
      </c>
      <c r="G377" s="187">
        <f>SUM(G378)</f>
        <v>136</v>
      </c>
      <c r="H377" s="187">
        <f t="shared" si="49"/>
        <v>0</v>
      </c>
      <c r="I377" s="315">
        <v>0.06364836369524295</v>
      </c>
      <c r="K377" s="187">
        <f>SUM(K378)</f>
        <v>135.64</v>
      </c>
      <c r="L377" s="187">
        <f>SUM(L378)</f>
        <v>135.64</v>
      </c>
      <c r="M377" s="511">
        <f t="shared" si="45"/>
        <v>0.36000000000001364</v>
      </c>
    </row>
    <row r="378" spans="1:13" ht="15.75" customHeight="1">
      <c r="A378" s="137" t="s">
        <v>57</v>
      </c>
      <c r="B378" s="33"/>
      <c r="C378" s="17">
        <v>516100</v>
      </c>
      <c r="D378" s="30" t="s">
        <v>345</v>
      </c>
      <c r="E378" s="196">
        <v>0</v>
      </c>
      <c r="F378" s="196">
        <f t="shared" si="51"/>
        <v>136</v>
      </c>
      <c r="G378" s="196">
        <v>136</v>
      </c>
      <c r="H378" s="207">
        <f t="shared" si="49"/>
        <v>0</v>
      </c>
      <c r="I378" s="318">
        <v>0.06364836369524295</v>
      </c>
      <c r="K378" s="196">
        <v>135.64</v>
      </c>
      <c r="L378" s="196">
        <v>135.64</v>
      </c>
      <c r="M378" s="511">
        <f t="shared" si="45"/>
        <v>0.36000000000001364</v>
      </c>
    </row>
    <row r="379" spans="1:13" ht="30" customHeight="1">
      <c r="A379" s="556"/>
      <c r="B379" s="557"/>
      <c r="C379" s="550" t="s">
        <v>94</v>
      </c>
      <c r="D379" s="551"/>
      <c r="E379" s="71">
        <f>E359+E361+E372+E370+E377</f>
        <v>91150</v>
      </c>
      <c r="F379" s="71">
        <f>F359+F361+F372+F370+F377</f>
        <v>14656</v>
      </c>
      <c r="G379" s="71">
        <f>G359+G361+G372+G370+G377</f>
        <v>105806</v>
      </c>
      <c r="H379" s="323">
        <f t="shared" si="49"/>
        <v>116.07899067471202</v>
      </c>
      <c r="I379" s="325">
        <f>G379/$G$502*100</f>
        <v>0.4562357792839221</v>
      </c>
      <c r="K379" s="71">
        <f>K359+K361+K372+K370+K377</f>
        <v>105804.5</v>
      </c>
      <c r="L379" s="71">
        <f>L359+L361+L372+L370+L377</f>
        <v>92104.5</v>
      </c>
      <c r="M379" s="511">
        <f t="shared" si="45"/>
        <v>13701.5</v>
      </c>
    </row>
    <row r="380" spans="1:13" ht="25.5" customHeight="1">
      <c r="A380" s="574"/>
      <c r="B380" s="572"/>
      <c r="C380" s="560" t="s">
        <v>449</v>
      </c>
      <c r="D380" s="562"/>
      <c r="E380" s="566"/>
      <c r="F380" s="566"/>
      <c r="G380" s="566"/>
      <c r="H380" s="566"/>
      <c r="I380" s="567"/>
      <c r="M380" s="511">
        <f t="shared" si="45"/>
        <v>0</v>
      </c>
    </row>
    <row r="381" spans="1:13" ht="15.75" customHeight="1">
      <c r="A381" s="575"/>
      <c r="B381" s="573"/>
      <c r="C381" s="562"/>
      <c r="D381" s="562"/>
      <c r="E381" s="568"/>
      <c r="F381" s="568"/>
      <c r="G381" s="568"/>
      <c r="H381" s="568"/>
      <c r="I381" s="569"/>
      <c r="M381" s="511">
        <f t="shared" si="45"/>
        <v>0</v>
      </c>
    </row>
    <row r="382" spans="1:13" ht="12.75">
      <c r="A382" s="353"/>
      <c r="B382" s="338" t="s">
        <v>450</v>
      </c>
      <c r="C382" s="337"/>
      <c r="D382" s="36" t="s">
        <v>409</v>
      </c>
      <c r="E382" s="357">
        <f>SUM(E383)</f>
        <v>3000</v>
      </c>
      <c r="F382" s="357">
        <f>SUM(F383)</f>
        <v>0</v>
      </c>
      <c r="G382" s="357">
        <f>SUM(G383)</f>
        <v>3000</v>
      </c>
      <c r="H382" s="357">
        <f aca="true" t="shared" si="52" ref="H382:H391">IF(E382&gt;0,G382/E382*100,0)</f>
        <v>100</v>
      </c>
      <c r="I382" s="358">
        <f aca="true" t="shared" si="53" ref="I382:I391">G382/$G$502*100</f>
        <v>0.012936008712660589</v>
      </c>
      <c r="K382" s="357">
        <f>SUM(K383)</f>
        <v>3000</v>
      </c>
      <c r="L382" s="357">
        <f>SUM(L383)</f>
        <v>3000</v>
      </c>
      <c r="M382" s="511">
        <f t="shared" si="45"/>
        <v>0</v>
      </c>
    </row>
    <row r="383" spans="1:13" ht="12.75">
      <c r="A383" s="339" t="s">
        <v>32</v>
      </c>
      <c r="B383" s="338"/>
      <c r="C383" s="340">
        <v>411200</v>
      </c>
      <c r="D383" s="29" t="s">
        <v>3</v>
      </c>
      <c r="E383" s="70">
        <v>3000</v>
      </c>
      <c r="F383" s="70">
        <f aca="true" t="shared" si="54" ref="F383:F390">G383-E383</f>
        <v>0</v>
      </c>
      <c r="G383" s="70">
        <v>3000</v>
      </c>
      <c r="H383" s="317">
        <f t="shared" si="52"/>
        <v>100</v>
      </c>
      <c r="I383" s="318">
        <f t="shared" si="53"/>
        <v>0.012936008712660589</v>
      </c>
      <c r="K383" s="70">
        <v>3000</v>
      </c>
      <c r="L383" s="70">
        <v>3000</v>
      </c>
      <c r="M383" s="511">
        <f t="shared" si="45"/>
        <v>0</v>
      </c>
    </row>
    <row r="384" spans="1:13" ht="12.75">
      <c r="A384" s="339"/>
      <c r="B384" s="338" t="s">
        <v>451</v>
      </c>
      <c r="C384" s="337"/>
      <c r="D384" s="36" t="s">
        <v>142</v>
      </c>
      <c r="E384" s="357">
        <f>SUM(E385:E390)</f>
        <v>8500</v>
      </c>
      <c r="F384" s="357">
        <f>SUM(F385:F390)</f>
        <v>-181</v>
      </c>
      <c r="G384" s="357">
        <f>SUM(G385:G390)</f>
        <v>8319</v>
      </c>
      <c r="H384" s="357">
        <f t="shared" si="52"/>
        <v>97.87058823529412</v>
      </c>
      <c r="I384" s="358">
        <f t="shared" si="53"/>
        <v>0.03587155216020781</v>
      </c>
      <c r="K384" s="357">
        <f>SUM(K385:K390)</f>
        <v>8319</v>
      </c>
      <c r="L384" s="357">
        <f>SUM(L385:L390)</f>
        <v>8319</v>
      </c>
      <c r="M384" s="511">
        <f t="shared" si="45"/>
        <v>0</v>
      </c>
    </row>
    <row r="385" spans="1:13" ht="24">
      <c r="A385" s="339" t="s">
        <v>32</v>
      </c>
      <c r="B385" s="338"/>
      <c r="C385" s="340">
        <v>412200</v>
      </c>
      <c r="D385" s="30" t="s">
        <v>144</v>
      </c>
      <c r="E385" s="70">
        <v>6000</v>
      </c>
      <c r="F385" s="70">
        <f t="shared" si="54"/>
        <v>0</v>
      </c>
      <c r="G385" s="70">
        <v>6000</v>
      </c>
      <c r="H385" s="317">
        <f t="shared" si="52"/>
        <v>100</v>
      </c>
      <c r="I385" s="318">
        <f t="shared" si="53"/>
        <v>0.025872017425321178</v>
      </c>
      <c r="K385" s="70">
        <v>6000</v>
      </c>
      <c r="L385" s="70">
        <v>6000</v>
      </c>
      <c r="M385" s="511">
        <f t="shared" si="45"/>
        <v>0</v>
      </c>
    </row>
    <row r="386" spans="1:13" ht="12.75">
      <c r="A386" s="339" t="s">
        <v>32</v>
      </c>
      <c r="B386" s="338"/>
      <c r="C386" s="340">
        <v>412300</v>
      </c>
      <c r="D386" s="33" t="s">
        <v>145</v>
      </c>
      <c r="E386" s="70">
        <v>700</v>
      </c>
      <c r="F386" s="70">
        <f t="shared" si="54"/>
        <v>0</v>
      </c>
      <c r="G386" s="70">
        <v>700</v>
      </c>
      <c r="H386" s="317">
        <f t="shared" si="52"/>
        <v>100</v>
      </c>
      <c r="I386" s="318">
        <f t="shared" si="53"/>
        <v>0.003018402032954137</v>
      </c>
      <c r="K386" s="70">
        <v>700</v>
      </c>
      <c r="L386" s="70">
        <v>700</v>
      </c>
      <c r="M386" s="511">
        <f t="shared" si="45"/>
        <v>0</v>
      </c>
    </row>
    <row r="387" spans="1:13" ht="12.75">
      <c r="A387" s="339" t="s">
        <v>32</v>
      </c>
      <c r="B387" s="338"/>
      <c r="C387" s="340">
        <v>412400</v>
      </c>
      <c r="D387" s="30" t="s">
        <v>146</v>
      </c>
      <c r="E387" s="70">
        <v>200</v>
      </c>
      <c r="F387" s="70">
        <f t="shared" si="54"/>
        <v>-155</v>
      </c>
      <c r="G387" s="70">
        <v>45</v>
      </c>
      <c r="H387" s="317">
        <f t="shared" si="52"/>
        <v>22.5</v>
      </c>
      <c r="I387" s="318">
        <f t="shared" si="53"/>
        <v>0.00019404013068990882</v>
      </c>
      <c r="K387" s="70">
        <v>45</v>
      </c>
      <c r="L387" s="70">
        <v>45</v>
      </c>
      <c r="M387" s="511">
        <f t="shared" si="45"/>
        <v>0</v>
      </c>
    </row>
    <row r="388" spans="1:13" ht="12.75">
      <c r="A388" s="339" t="s">
        <v>32</v>
      </c>
      <c r="B388" s="338"/>
      <c r="C388" s="340">
        <v>412600</v>
      </c>
      <c r="D388" s="30" t="s">
        <v>148</v>
      </c>
      <c r="E388" s="70">
        <v>0</v>
      </c>
      <c r="F388" s="70">
        <f t="shared" si="54"/>
        <v>61.5</v>
      </c>
      <c r="G388" s="70">
        <v>61.5</v>
      </c>
      <c r="H388" s="317">
        <f t="shared" si="52"/>
        <v>0</v>
      </c>
      <c r="I388" s="318">
        <f t="shared" si="53"/>
        <v>0.00026518817860954206</v>
      </c>
      <c r="K388" s="70">
        <v>61.5</v>
      </c>
      <c r="L388" s="70">
        <v>61.5</v>
      </c>
      <c r="M388" s="511">
        <f t="shared" si="45"/>
        <v>0</v>
      </c>
    </row>
    <row r="389" spans="1:13" ht="12.75">
      <c r="A389" s="339" t="s">
        <v>32</v>
      </c>
      <c r="B389" s="338"/>
      <c r="C389" s="340">
        <v>412700</v>
      </c>
      <c r="D389" s="78" t="s">
        <v>149</v>
      </c>
      <c r="E389" s="70">
        <v>1000</v>
      </c>
      <c r="F389" s="70">
        <f t="shared" si="54"/>
        <v>-81.5</v>
      </c>
      <c r="G389" s="70">
        <v>918.5</v>
      </c>
      <c r="H389" s="317">
        <f t="shared" si="52"/>
        <v>91.85</v>
      </c>
      <c r="I389" s="318">
        <f t="shared" si="53"/>
        <v>0.00396057466752625</v>
      </c>
      <c r="K389" s="70">
        <v>918.5</v>
      </c>
      <c r="L389" s="70">
        <v>918.5</v>
      </c>
      <c r="M389" s="511">
        <f t="shared" si="45"/>
        <v>0</v>
      </c>
    </row>
    <row r="390" spans="1:13" ht="12.75">
      <c r="A390" s="339" t="s">
        <v>32</v>
      </c>
      <c r="B390" s="338"/>
      <c r="C390" s="340">
        <v>412900</v>
      </c>
      <c r="D390" s="78" t="s">
        <v>151</v>
      </c>
      <c r="E390" s="317">
        <v>600</v>
      </c>
      <c r="F390" s="317">
        <f t="shared" si="54"/>
        <v>-6</v>
      </c>
      <c r="G390" s="317">
        <v>594</v>
      </c>
      <c r="H390" s="317">
        <f t="shared" si="52"/>
        <v>99</v>
      </c>
      <c r="I390" s="318">
        <f t="shared" si="53"/>
        <v>0.0025613297251067964</v>
      </c>
      <c r="K390" s="317">
        <v>594</v>
      </c>
      <c r="L390" s="317">
        <v>594</v>
      </c>
      <c r="M390" s="511">
        <f t="shared" si="45"/>
        <v>0</v>
      </c>
    </row>
    <row r="391" spans="1:13" ht="30" customHeight="1">
      <c r="A391" s="570"/>
      <c r="B391" s="571"/>
      <c r="C391" s="550" t="s">
        <v>452</v>
      </c>
      <c r="D391" s="551"/>
      <c r="E391" s="359">
        <f>E382+E384</f>
        <v>11500</v>
      </c>
      <c r="F391" s="359">
        <f>F382+F384</f>
        <v>-181</v>
      </c>
      <c r="G391" s="359">
        <f>G382+G384</f>
        <v>11319</v>
      </c>
      <c r="H391" s="359">
        <f t="shared" si="52"/>
        <v>98.42608695652174</v>
      </c>
      <c r="I391" s="349">
        <f t="shared" si="53"/>
        <v>0.048807560872868395</v>
      </c>
      <c r="K391" s="359">
        <f>K382+K384</f>
        <v>11319</v>
      </c>
      <c r="L391" s="359">
        <f>L382+L384</f>
        <v>11319</v>
      </c>
      <c r="M391" s="511">
        <f t="shared" si="45"/>
        <v>0</v>
      </c>
    </row>
    <row r="392" spans="1:13" ht="9.75" customHeight="1">
      <c r="A392" s="556"/>
      <c r="B392" s="557"/>
      <c r="C392" s="560" t="s">
        <v>362</v>
      </c>
      <c r="D392" s="561"/>
      <c r="E392" s="175"/>
      <c r="F392" s="175"/>
      <c r="G392" s="175"/>
      <c r="H392" s="175"/>
      <c r="I392" s="372"/>
      <c r="K392" s="175"/>
      <c r="L392" s="175"/>
      <c r="M392" s="511">
        <f t="shared" si="45"/>
        <v>0</v>
      </c>
    </row>
    <row r="393" spans="1:13" ht="30" customHeight="1">
      <c r="A393" s="556"/>
      <c r="B393" s="557"/>
      <c r="C393" s="562"/>
      <c r="D393" s="561"/>
      <c r="E393" s="177"/>
      <c r="F393" s="177"/>
      <c r="G393" s="177"/>
      <c r="H393" s="177"/>
      <c r="I393" s="374"/>
      <c r="K393" s="177"/>
      <c r="L393" s="177"/>
      <c r="M393" s="511">
        <f t="shared" si="45"/>
        <v>0</v>
      </c>
    </row>
    <row r="394" spans="1:13" ht="14.25" customHeight="1">
      <c r="A394" s="137"/>
      <c r="B394" s="23">
        <v>411000</v>
      </c>
      <c r="C394" s="33"/>
      <c r="D394" s="26" t="s">
        <v>409</v>
      </c>
      <c r="E394" s="355">
        <f>SUM(E395:E398)</f>
        <v>110000</v>
      </c>
      <c r="F394" s="355">
        <f>SUM(F395:F398)</f>
        <v>6500</v>
      </c>
      <c r="G394" s="355">
        <f>SUM(G395:G398)</f>
        <v>116500</v>
      </c>
      <c r="H394" s="357">
        <f aca="true" t="shared" si="55" ref="H394:H416">IF(E394&gt;0,G394/E394*100,0)</f>
        <v>105.9090909090909</v>
      </c>
      <c r="I394" s="358">
        <f aca="true" t="shared" si="56" ref="I394:I416">G394/$G$502*100</f>
        <v>0.5023483383416528</v>
      </c>
      <c r="K394" s="355">
        <f>SUM(K395:K398)</f>
        <v>116500</v>
      </c>
      <c r="L394" s="355">
        <f>SUM(L395:L398)</f>
        <v>110000</v>
      </c>
      <c r="M394" s="511">
        <f t="shared" si="45"/>
        <v>6500</v>
      </c>
    </row>
    <row r="395" spans="1:13" ht="12.75">
      <c r="A395" s="137" t="s">
        <v>36</v>
      </c>
      <c r="B395" s="33"/>
      <c r="C395" s="17">
        <v>411100</v>
      </c>
      <c r="D395" s="27" t="s">
        <v>403</v>
      </c>
      <c r="E395" s="196">
        <v>86000</v>
      </c>
      <c r="F395" s="196">
        <f aca="true" t="shared" si="57" ref="F395:F415">G395-E395</f>
        <v>8000</v>
      </c>
      <c r="G395" s="196">
        <v>94000</v>
      </c>
      <c r="H395" s="207">
        <f t="shared" si="55"/>
        <v>109.30232558139534</v>
      </c>
      <c r="I395" s="318">
        <f t="shared" si="56"/>
        <v>0.40532827299669844</v>
      </c>
      <c r="K395" s="196">
        <v>94000</v>
      </c>
      <c r="L395" s="196">
        <v>86000</v>
      </c>
      <c r="M395" s="511">
        <f t="shared" si="45"/>
        <v>8000</v>
      </c>
    </row>
    <row r="396" spans="1:13" ht="24">
      <c r="A396" s="137" t="s">
        <v>36</v>
      </c>
      <c r="B396" s="33"/>
      <c r="C396" s="17">
        <v>411200</v>
      </c>
      <c r="D396" s="27" t="s">
        <v>410</v>
      </c>
      <c r="E396" s="196">
        <v>22000</v>
      </c>
      <c r="F396" s="196">
        <f t="shared" si="57"/>
        <v>500</v>
      </c>
      <c r="G396" s="196">
        <v>22500</v>
      </c>
      <c r="H396" s="207">
        <f t="shared" si="55"/>
        <v>102.27272727272727</v>
      </c>
      <c r="I396" s="318">
        <f t="shared" si="56"/>
        <v>0.09702006534495441</v>
      </c>
      <c r="K396" s="196">
        <v>22500</v>
      </c>
      <c r="L396" s="196">
        <v>22000</v>
      </c>
      <c r="M396" s="511">
        <f t="shared" si="45"/>
        <v>500</v>
      </c>
    </row>
    <row r="397" spans="1:13" ht="18" customHeight="1">
      <c r="A397" s="137" t="s">
        <v>36</v>
      </c>
      <c r="B397" s="33"/>
      <c r="C397" s="17">
        <v>411300</v>
      </c>
      <c r="D397" s="27" t="s">
        <v>404</v>
      </c>
      <c r="E397" s="196">
        <v>1000</v>
      </c>
      <c r="F397" s="196">
        <f t="shared" si="57"/>
        <v>-1000</v>
      </c>
      <c r="G397" s="196">
        <v>0</v>
      </c>
      <c r="H397" s="207">
        <f t="shared" si="55"/>
        <v>0</v>
      </c>
      <c r="I397" s="318">
        <f t="shared" si="56"/>
        <v>0</v>
      </c>
      <c r="K397" s="196">
        <v>0</v>
      </c>
      <c r="L397" s="196">
        <v>1000</v>
      </c>
      <c r="M397" s="511">
        <f t="shared" si="45"/>
        <v>-1000</v>
      </c>
    </row>
    <row r="398" spans="1:13" ht="12.75">
      <c r="A398" s="137" t="s">
        <v>36</v>
      </c>
      <c r="B398" s="33"/>
      <c r="C398" s="17">
        <v>411400</v>
      </c>
      <c r="D398" s="29" t="s">
        <v>405</v>
      </c>
      <c r="E398" s="196">
        <v>1000</v>
      </c>
      <c r="F398" s="196">
        <f t="shared" si="57"/>
        <v>-1000</v>
      </c>
      <c r="G398" s="196">
        <v>0</v>
      </c>
      <c r="H398" s="207">
        <f t="shared" si="55"/>
        <v>0</v>
      </c>
      <c r="I398" s="318">
        <f t="shared" si="56"/>
        <v>0</v>
      </c>
      <c r="K398" s="196">
        <v>0</v>
      </c>
      <c r="L398" s="196">
        <v>1000</v>
      </c>
      <c r="M398" s="511">
        <f aca="true" t="shared" si="58" ref="M398:M461">G398-L398</f>
        <v>-1000</v>
      </c>
    </row>
    <row r="399" spans="1:13" ht="14.25" customHeight="1">
      <c r="A399" s="137"/>
      <c r="B399" s="23">
        <v>412000</v>
      </c>
      <c r="C399" s="17"/>
      <c r="D399" s="32" t="s">
        <v>142</v>
      </c>
      <c r="E399" s="187">
        <f>SUM(E400:E408)</f>
        <v>41500</v>
      </c>
      <c r="F399" s="187">
        <f>SUM(F400:F408)</f>
        <v>9658</v>
      </c>
      <c r="G399" s="187">
        <f>SUM(G400:G408)</f>
        <v>51158</v>
      </c>
      <c r="H399" s="187">
        <f t="shared" si="55"/>
        <v>123.27228915662651</v>
      </c>
      <c r="I399" s="315">
        <f t="shared" si="56"/>
        <v>0.22059344457409677</v>
      </c>
      <c r="K399" s="187">
        <f>SUM(K400:K408)</f>
        <v>51158</v>
      </c>
      <c r="L399" s="187">
        <f>SUM(L400:L408)</f>
        <v>50500</v>
      </c>
      <c r="M399" s="511">
        <f t="shared" si="58"/>
        <v>658</v>
      </c>
    </row>
    <row r="400" spans="1:13" ht="24">
      <c r="A400" s="137" t="s">
        <v>36</v>
      </c>
      <c r="B400" s="23"/>
      <c r="C400" s="17">
        <v>412200</v>
      </c>
      <c r="D400" s="30" t="s">
        <v>144</v>
      </c>
      <c r="E400" s="196">
        <v>15000</v>
      </c>
      <c r="F400" s="196">
        <f t="shared" si="57"/>
        <v>0</v>
      </c>
      <c r="G400" s="196">
        <v>15000</v>
      </c>
      <c r="H400" s="207">
        <f t="shared" si="55"/>
        <v>100</v>
      </c>
      <c r="I400" s="318">
        <f t="shared" si="56"/>
        <v>0.06468004356330294</v>
      </c>
      <c r="K400" s="196">
        <v>15000</v>
      </c>
      <c r="L400" s="196">
        <v>15000</v>
      </c>
      <c r="M400" s="511">
        <f t="shared" si="58"/>
        <v>0</v>
      </c>
    </row>
    <row r="401" spans="1:13" ht="12.75">
      <c r="A401" s="137" t="s">
        <v>36</v>
      </c>
      <c r="B401" s="23"/>
      <c r="C401" s="17">
        <v>412300</v>
      </c>
      <c r="D401" s="33" t="s">
        <v>145</v>
      </c>
      <c r="E401" s="196">
        <v>1000</v>
      </c>
      <c r="F401" s="196">
        <f t="shared" si="57"/>
        <v>0</v>
      </c>
      <c r="G401" s="196">
        <v>1000</v>
      </c>
      <c r="H401" s="207">
        <f t="shared" si="55"/>
        <v>100</v>
      </c>
      <c r="I401" s="318">
        <f t="shared" si="56"/>
        <v>0.004312002904220196</v>
      </c>
      <c r="K401" s="196">
        <v>1000</v>
      </c>
      <c r="L401" s="196">
        <v>1000</v>
      </c>
      <c r="M401" s="511">
        <f t="shared" si="58"/>
        <v>0</v>
      </c>
    </row>
    <row r="402" spans="1:13" ht="12.75">
      <c r="A402" s="137" t="s">
        <v>36</v>
      </c>
      <c r="B402" s="23"/>
      <c r="C402" s="17">
        <v>412500</v>
      </c>
      <c r="D402" s="33" t="s">
        <v>147</v>
      </c>
      <c r="E402" s="196">
        <v>1000</v>
      </c>
      <c r="F402" s="196">
        <f t="shared" si="57"/>
        <v>0</v>
      </c>
      <c r="G402" s="196">
        <v>1000</v>
      </c>
      <c r="H402" s="207">
        <f t="shared" si="55"/>
        <v>100</v>
      </c>
      <c r="I402" s="318">
        <f t="shared" si="56"/>
        <v>0.004312002904220196</v>
      </c>
      <c r="K402" s="196">
        <v>1000</v>
      </c>
      <c r="L402" s="196">
        <v>1000</v>
      </c>
      <c r="M402" s="511">
        <f t="shared" si="58"/>
        <v>0</v>
      </c>
    </row>
    <row r="403" spans="1:13" ht="12.75">
      <c r="A403" s="137" t="s">
        <v>36</v>
      </c>
      <c r="B403" s="23"/>
      <c r="C403" s="17">
        <v>412600</v>
      </c>
      <c r="D403" s="33" t="s">
        <v>148</v>
      </c>
      <c r="E403" s="196">
        <v>500</v>
      </c>
      <c r="F403" s="196">
        <f t="shared" si="57"/>
        <v>0</v>
      </c>
      <c r="G403" s="196">
        <v>500</v>
      </c>
      <c r="H403" s="207">
        <f t="shared" si="55"/>
        <v>100</v>
      </c>
      <c r="I403" s="318">
        <f t="shared" si="56"/>
        <v>0.002156001452110098</v>
      </c>
      <c r="K403" s="196">
        <v>500</v>
      </c>
      <c r="L403" s="196">
        <v>500</v>
      </c>
      <c r="M403" s="511">
        <f t="shared" si="58"/>
        <v>0</v>
      </c>
    </row>
    <row r="404" spans="1:13" ht="12.75" customHeight="1">
      <c r="A404" s="137" t="s">
        <v>36</v>
      </c>
      <c r="B404" s="23"/>
      <c r="C404" s="78">
        <v>412700</v>
      </c>
      <c r="D404" s="78" t="s">
        <v>192</v>
      </c>
      <c r="E404" s="196">
        <v>10000</v>
      </c>
      <c r="F404" s="196">
        <f t="shared" si="57"/>
        <v>4000</v>
      </c>
      <c r="G404" s="196">
        <v>14000</v>
      </c>
      <c r="H404" s="207">
        <f t="shared" si="55"/>
        <v>140</v>
      </c>
      <c r="I404" s="318">
        <f t="shared" si="56"/>
        <v>0.06036804065908274</v>
      </c>
      <c r="K404" s="196">
        <v>14000</v>
      </c>
      <c r="L404" s="196">
        <v>14000</v>
      </c>
      <c r="M404" s="511">
        <f t="shared" si="58"/>
        <v>0</v>
      </c>
    </row>
    <row r="405" spans="1:13" ht="15" customHeight="1" hidden="1">
      <c r="A405" s="137" t="s">
        <v>36</v>
      </c>
      <c r="B405" s="23"/>
      <c r="C405" s="78">
        <v>412700</v>
      </c>
      <c r="D405" s="30" t="s">
        <v>337</v>
      </c>
      <c r="E405" s="184">
        <v>0</v>
      </c>
      <c r="F405" s="184">
        <f t="shared" si="57"/>
        <v>0</v>
      </c>
      <c r="G405" s="184">
        <v>0</v>
      </c>
      <c r="H405" s="207">
        <f t="shared" si="55"/>
        <v>0</v>
      </c>
      <c r="I405" s="318">
        <f t="shared" si="56"/>
        <v>0</v>
      </c>
      <c r="K405" s="184"/>
      <c r="L405" s="184">
        <v>0</v>
      </c>
      <c r="M405" s="511">
        <f t="shared" si="58"/>
        <v>0</v>
      </c>
    </row>
    <row r="406" spans="1:13" ht="14.25" customHeight="1">
      <c r="A406" s="137" t="s">
        <v>36</v>
      </c>
      <c r="B406" s="23"/>
      <c r="C406" s="78">
        <v>412700</v>
      </c>
      <c r="D406" s="94" t="s">
        <v>196</v>
      </c>
      <c r="E406" s="184">
        <v>10000</v>
      </c>
      <c r="F406" s="184">
        <f t="shared" si="57"/>
        <v>5000</v>
      </c>
      <c r="G406" s="184">
        <v>15000</v>
      </c>
      <c r="H406" s="207">
        <f t="shared" si="55"/>
        <v>150</v>
      </c>
      <c r="I406" s="318">
        <f t="shared" si="56"/>
        <v>0.06468004356330294</v>
      </c>
      <c r="K406" s="184">
        <v>15000</v>
      </c>
      <c r="L406" s="184">
        <v>15000</v>
      </c>
      <c r="M406" s="511">
        <f t="shared" si="58"/>
        <v>0</v>
      </c>
    </row>
    <row r="407" spans="1:13" ht="24.75" customHeight="1" hidden="1">
      <c r="A407" s="137" t="s">
        <v>36</v>
      </c>
      <c r="B407" s="23"/>
      <c r="C407" s="78">
        <v>412700</v>
      </c>
      <c r="D407" s="30" t="s">
        <v>368</v>
      </c>
      <c r="E407" s="196">
        <v>0</v>
      </c>
      <c r="F407" s="196">
        <f t="shared" si="57"/>
        <v>0</v>
      </c>
      <c r="G407" s="196">
        <v>0</v>
      </c>
      <c r="H407" s="207">
        <f t="shared" si="55"/>
        <v>0</v>
      </c>
      <c r="I407" s="318">
        <f t="shared" si="56"/>
        <v>0</v>
      </c>
      <c r="K407" s="196"/>
      <c r="L407" s="196">
        <v>0</v>
      </c>
      <c r="M407" s="511">
        <f t="shared" si="58"/>
        <v>0</v>
      </c>
    </row>
    <row r="408" spans="1:13" ht="12.75">
      <c r="A408" s="137" t="s">
        <v>36</v>
      </c>
      <c r="B408" s="23"/>
      <c r="C408" s="78">
        <v>412900</v>
      </c>
      <c r="D408" s="94" t="s">
        <v>151</v>
      </c>
      <c r="E408" s="196">
        <v>4000</v>
      </c>
      <c r="F408" s="196">
        <f t="shared" si="57"/>
        <v>658</v>
      </c>
      <c r="G408" s="196">
        <v>4658</v>
      </c>
      <c r="H408" s="207">
        <f t="shared" si="55"/>
        <v>116.45</v>
      </c>
      <c r="I408" s="318">
        <f t="shared" si="56"/>
        <v>0.020085309527857673</v>
      </c>
      <c r="J408" s="466"/>
      <c r="K408" s="196">
        <v>4658</v>
      </c>
      <c r="L408" s="196">
        <v>4000</v>
      </c>
      <c r="M408" s="511">
        <f t="shared" si="58"/>
        <v>658</v>
      </c>
    </row>
    <row r="409" spans="1:13" ht="14.25" customHeight="1">
      <c r="A409" s="137"/>
      <c r="B409" s="23">
        <v>511000</v>
      </c>
      <c r="C409" s="33"/>
      <c r="D409" s="32" t="s">
        <v>160</v>
      </c>
      <c r="E409" s="187">
        <f>SUM(E410:E411)</f>
        <v>3000</v>
      </c>
      <c r="F409" s="187">
        <f>SUM(F410:F411)</f>
        <v>-658</v>
      </c>
      <c r="G409" s="187">
        <f>SUM(G410:G411)</f>
        <v>2342</v>
      </c>
      <c r="H409" s="187">
        <f t="shared" si="55"/>
        <v>78.06666666666666</v>
      </c>
      <c r="I409" s="315">
        <f t="shared" si="56"/>
        <v>0.010098710801683699</v>
      </c>
      <c r="K409" s="187">
        <f>SUM(K410:K411)</f>
        <v>2342</v>
      </c>
      <c r="L409" s="187">
        <f>SUM(L410:L411)</f>
        <v>3000</v>
      </c>
      <c r="M409" s="511">
        <f t="shared" si="58"/>
        <v>-658</v>
      </c>
    </row>
    <row r="410" spans="1:13" ht="23.25" customHeight="1">
      <c r="A410" s="137" t="s">
        <v>36</v>
      </c>
      <c r="B410" s="33"/>
      <c r="C410" s="17">
        <v>511200</v>
      </c>
      <c r="D410" s="30" t="s">
        <v>171</v>
      </c>
      <c r="E410" s="184">
        <v>1500</v>
      </c>
      <c r="F410" s="184">
        <f t="shared" si="57"/>
        <v>-658</v>
      </c>
      <c r="G410" s="184">
        <v>842</v>
      </c>
      <c r="H410" s="207">
        <f t="shared" si="55"/>
        <v>56.13333333333333</v>
      </c>
      <c r="I410" s="318">
        <f t="shared" si="56"/>
        <v>0.0036307064453534052</v>
      </c>
      <c r="J410" s="466"/>
      <c r="K410" s="184">
        <v>842</v>
      </c>
      <c r="L410" s="184">
        <v>1500</v>
      </c>
      <c r="M410" s="511">
        <f t="shared" si="58"/>
        <v>-658</v>
      </c>
    </row>
    <row r="411" spans="1:13" ht="16.5" customHeight="1">
      <c r="A411" s="137" t="s">
        <v>36</v>
      </c>
      <c r="B411" s="33"/>
      <c r="C411" s="17">
        <v>511300</v>
      </c>
      <c r="D411" s="30" t="s">
        <v>2</v>
      </c>
      <c r="E411" s="184">
        <v>1500</v>
      </c>
      <c r="F411" s="184">
        <f t="shared" si="57"/>
        <v>0</v>
      </c>
      <c r="G411" s="184">
        <v>1500</v>
      </c>
      <c r="H411" s="207">
        <f t="shared" si="55"/>
        <v>100</v>
      </c>
      <c r="I411" s="318">
        <f t="shared" si="56"/>
        <v>0.0064680043563302946</v>
      </c>
      <c r="J411" s="466"/>
      <c r="K411" s="184">
        <v>1500</v>
      </c>
      <c r="L411" s="184">
        <v>1500</v>
      </c>
      <c r="M411" s="511">
        <f t="shared" si="58"/>
        <v>0</v>
      </c>
    </row>
    <row r="412" spans="1:13" ht="24">
      <c r="A412" s="137"/>
      <c r="B412" s="23">
        <v>516000</v>
      </c>
      <c r="C412" s="33"/>
      <c r="D412" s="59" t="s">
        <v>365</v>
      </c>
      <c r="E412" s="187">
        <f>SUM(E413:E413)</f>
        <v>4500</v>
      </c>
      <c r="F412" s="187">
        <f>SUM(F413:F413)</f>
        <v>0</v>
      </c>
      <c r="G412" s="187">
        <f>SUM(G413:G413)</f>
        <v>4500</v>
      </c>
      <c r="H412" s="187">
        <f t="shared" si="55"/>
        <v>100</v>
      </c>
      <c r="I412" s="315">
        <f t="shared" si="56"/>
        <v>0.019404013068990884</v>
      </c>
      <c r="K412" s="187">
        <f>SUM(K413:K413)</f>
        <v>4500</v>
      </c>
      <c r="L412" s="187">
        <f>SUM(L413:L413)</f>
        <v>4500</v>
      </c>
      <c r="M412" s="511">
        <f t="shared" si="58"/>
        <v>0</v>
      </c>
    </row>
    <row r="413" spans="1:13" ht="17.25" customHeight="1">
      <c r="A413" s="137" t="s">
        <v>36</v>
      </c>
      <c r="B413" s="23"/>
      <c r="C413" s="33">
        <v>516100</v>
      </c>
      <c r="D413" s="30" t="s">
        <v>189</v>
      </c>
      <c r="E413" s="207">
        <v>4500</v>
      </c>
      <c r="F413" s="207">
        <f t="shared" si="57"/>
        <v>0</v>
      </c>
      <c r="G413" s="207">
        <v>4500</v>
      </c>
      <c r="H413" s="207">
        <f t="shared" si="55"/>
        <v>100</v>
      </c>
      <c r="I413" s="318">
        <f t="shared" si="56"/>
        <v>0.019404013068990884</v>
      </c>
      <c r="K413" s="207">
        <v>4500</v>
      </c>
      <c r="L413" s="207">
        <v>4500</v>
      </c>
      <c r="M413" s="511">
        <f t="shared" si="58"/>
        <v>0</v>
      </c>
    </row>
    <row r="414" spans="1:13" ht="22.5" customHeight="1">
      <c r="A414" s="137"/>
      <c r="B414" s="23">
        <v>638000</v>
      </c>
      <c r="C414" s="17"/>
      <c r="D414" s="32" t="s">
        <v>406</v>
      </c>
      <c r="E414" s="65">
        <f>SUM(E415)</f>
        <v>1000</v>
      </c>
      <c r="F414" s="65">
        <f>SUM(F415)</f>
        <v>-1000</v>
      </c>
      <c r="G414" s="65">
        <f>SUM(G415)</f>
        <v>0</v>
      </c>
      <c r="H414" s="187">
        <f t="shared" si="55"/>
        <v>0</v>
      </c>
      <c r="I414" s="315">
        <f t="shared" si="56"/>
        <v>0</v>
      </c>
      <c r="K414" s="65">
        <f>SUM(K415)</f>
        <v>0</v>
      </c>
      <c r="L414" s="65">
        <f>SUM(L415)</f>
        <v>1000</v>
      </c>
      <c r="M414" s="511">
        <f t="shared" si="58"/>
        <v>-1000</v>
      </c>
    </row>
    <row r="415" spans="1:13" ht="38.25" customHeight="1">
      <c r="A415" s="137"/>
      <c r="B415" s="33"/>
      <c r="C415" s="17">
        <v>638100</v>
      </c>
      <c r="D415" s="30" t="s">
        <v>407</v>
      </c>
      <c r="E415" s="196">
        <v>1000</v>
      </c>
      <c r="F415" s="196">
        <f t="shared" si="57"/>
        <v>-1000</v>
      </c>
      <c r="G415" s="196">
        <v>0</v>
      </c>
      <c r="H415" s="207">
        <f t="shared" si="55"/>
        <v>0</v>
      </c>
      <c r="I415" s="318">
        <f t="shared" si="56"/>
        <v>0</v>
      </c>
      <c r="K415" s="196">
        <v>0</v>
      </c>
      <c r="L415" s="196">
        <v>1000</v>
      </c>
      <c r="M415" s="511">
        <f t="shared" si="58"/>
        <v>-1000</v>
      </c>
    </row>
    <row r="416" spans="1:13" ht="24.75" customHeight="1">
      <c r="A416" s="548"/>
      <c r="B416" s="549"/>
      <c r="C416" s="550" t="s">
        <v>95</v>
      </c>
      <c r="D416" s="551"/>
      <c r="E416" s="347">
        <f>E394+E399+E409+E412+E414</f>
        <v>160000</v>
      </c>
      <c r="F416" s="347">
        <f>F394+F399+F409+F412+F414</f>
        <v>14500</v>
      </c>
      <c r="G416" s="347">
        <f>G394+G399+G409+G412+G414</f>
        <v>174500</v>
      </c>
      <c r="H416" s="348">
        <f t="shared" si="55"/>
        <v>109.0625</v>
      </c>
      <c r="I416" s="349">
        <f t="shared" si="56"/>
        <v>0.7524445067864243</v>
      </c>
      <c r="K416" s="347">
        <f>K394+K399+K409+K412+K414</f>
        <v>174500</v>
      </c>
      <c r="L416" s="347">
        <f>L394+L399+L409+L412+L414</f>
        <v>169000</v>
      </c>
      <c r="M416" s="511">
        <f t="shared" si="58"/>
        <v>5500</v>
      </c>
    </row>
    <row r="417" spans="1:13" ht="9.75" customHeight="1">
      <c r="A417" s="548"/>
      <c r="B417" s="549"/>
      <c r="C417" s="560" t="s">
        <v>363</v>
      </c>
      <c r="D417" s="561"/>
      <c r="E417" s="175"/>
      <c r="F417" s="175"/>
      <c r="G417" s="175"/>
      <c r="H417" s="175"/>
      <c r="I417" s="372"/>
      <c r="K417" s="175"/>
      <c r="L417" s="175"/>
      <c r="M417" s="511">
        <f t="shared" si="58"/>
        <v>0</v>
      </c>
    </row>
    <row r="418" spans="1:13" ht="9.75" customHeight="1">
      <c r="A418" s="548"/>
      <c r="B418" s="549"/>
      <c r="C418" s="562"/>
      <c r="D418" s="561"/>
      <c r="E418" s="176"/>
      <c r="F418" s="176"/>
      <c r="G418" s="176"/>
      <c r="H418" s="176"/>
      <c r="I418" s="373"/>
      <c r="K418" s="176"/>
      <c r="L418" s="176"/>
      <c r="M418" s="511">
        <f t="shared" si="58"/>
        <v>0</v>
      </c>
    </row>
    <row r="419" spans="1:13" ht="17.25" customHeight="1">
      <c r="A419" s="548"/>
      <c r="B419" s="549"/>
      <c r="C419" s="562"/>
      <c r="D419" s="561"/>
      <c r="E419" s="177"/>
      <c r="F419" s="177"/>
      <c r="G419" s="177"/>
      <c r="H419" s="177"/>
      <c r="I419" s="374"/>
      <c r="K419" s="177"/>
      <c r="L419" s="177"/>
      <c r="M419" s="511">
        <f t="shared" si="58"/>
        <v>0</v>
      </c>
    </row>
    <row r="420" spans="1:13" ht="14.25" customHeight="1">
      <c r="A420" s="137"/>
      <c r="B420" s="23">
        <v>411000</v>
      </c>
      <c r="C420" s="33"/>
      <c r="D420" s="26" t="s">
        <v>409</v>
      </c>
      <c r="E420" s="355">
        <f>SUM(E421:E424)</f>
        <v>470000</v>
      </c>
      <c r="F420" s="355">
        <f>SUM(F421:F424)</f>
        <v>19500</v>
      </c>
      <c r="G420" s="355">
        <f>SUM(G421:G424)</f>
        <v>489500</v>
      </c>
      <c r="H420" s="357">
        <f aca="true" t="shared" si="59" ref="H420:H442">IF(E420&gt;0,G420/E420*100,0)</f>
        <v>104.14893617021276</v>
      </c>
      <c r="I420" s="358">
        <f aca="true" t="shared" si="60" ref="I420:I442">G420/$G$502*100</f>
        <v>2.1107254216157862</v>
      </c>
      <c r="K420" s="355">
        <f>SUM(K421:K424)</f>
        <v>489500</v>
      </c>
      <c r="L420" s="355">
        <f>SUM(L421:L424)</f>
        <v>468500</v>
      </c>
      <c r="M420" s="511">
        <f t="shared" si="58"/>
        <v>21000</v>
      </c>
    </row>
    <row r="421" spans="1:13" ht="12.75">
      <c r="A421" s="137" t="s">
        <v>58</v>
      </c>
      <c r="B421" s="33"/>
      <c r="C421" s="17">
        <v>411100</v>
      </c>
      <c r="D421" s="27" t="s">
        <v>30</v>
      </c>
      <c r="E421" s="196">
        <v>367000</v>
      </c>
      <c r="F421" s="196">
        <f aca="true" t="shared" si="61" ref="F421:F441">G421-E421</f>
        <v>10000</v>
      </c>
      <c r="G421" s="196">
        <v>377000</v>
      </c>
      <c r="H421" s="207">
        <f t="shared" si="59"/>
        <v>102.72479564032697</v>
      </c>
      <c r="I421" s="318">
        <f t="shared" si="60"/>
        <v>1.6256250948910138</v>
      </c>
      <c r="K421" s="196">
        <v>377000</v>
      </c>
      <c r="L421" s="196">
        <v>358000</v>
      </c>
      <c r="M421" s="511">
        <f t="shared" si="58"/>
        <v>19000</v>
      </c>
    </row>
    <row r="422" spans="1:13" ht="12.75">
      <c r="A422" s="137" t="s">
        <v>58</v>
      </c>
      <c r="B422" s="33"/>
      <c r="C422" s="17">
        <v>411200</v>
      </c>
      <c r="D422" s="29" t="s">
        <v>141</v>
      </c>
      <c r="E422" s="196">
        <v>97000</v>
      </c>
      <c r="F422" s="196">
        <f t="shared" si="61"/>
        <v>-700</v>
      </c>
      <c r="G422" s="196">
        <v>96300</v>
      </c>
      <c r="H422" s="207">
        <f t="shared" si="59"/>
        <v>99.27835051546393</v>
      </c>
      <c r="I422" s="318">
        <f t="shared" si="60"/>
        <v>0.4152458796764049</v>
      </c>
      <c r="K422" s="196">
        <v>96300</v>
      </c>
      <c r="L422" s="196">
        <v>94300</v>
      </c>
      <c r="M422" s="511">
        <f t="shared" si="58"/>
        <v>2000</v>
      </c>
    </row>
    <row r="423" spans="1:13" ht="18.75" customHeight="1">
      <c r="A423" s="137" t="s">
        <v>58</v>
      </c>
      <c r="B423" s="33"/>
      <c r="C423" s="17">
        <v>411300</v>
      </c>
      <c r="D423" s="27" t="s">
        <v>404</v>
      </c>
      <c r="E423" s="196">
        <v>4000</v>
      </c>
      <c r="F423" s="196">
        <f t="shared" si="61"/>
        <v>10200</v>
      </c>
      <c r="G423" s="196">
        <v>14200</v>
      </c>
      <c r="H423" s="207">
        <f t="shared" si="59"/>
        <v>355</v>
      </c>
      <c r="I423" s="318">
        <f t="shared" si="60"/>
        <v>0.06123044123992679</v>
      </c>
      <c r="K423" s="196">
        <v>14200</v>
      </c>
      <c r="L423" s="196">
        <v>14200</v>
      </c>
      <c r="M423" s="511">
        <f t="shared" si="58"/>
        <v>0</v>
      </c>
    </row>
    <row r="424" spans="1:13" ht="12.75">
      <c r="A424" s="137" t="s">
        <v>58</v>
      </c>
      <c r="B424" s="33"/>
      <c r="C424" s="17">
        <v>411400</v>
      </c>
      <c r="D424" s="29" t="s">
        <v>405</v>
      </c>
      <c r="E424" s="196">
        <v>2000</v>
      </c>
      <c r="F424" s="196">
        <f t="shared" si="61"/>
        <v>0</v>
      </c>
      <c r="G424" s="196">
        <v>2000</v>
      </c>
      <c r="H424" s="207">
        <f t="shared" si="59"/>
        <v>100</v>
      </c>
      <c r="I424" s="318">
        <f t="shared" si="60"/>
        <v>0.008624005808440392</v>
      </c>
      <c r="K424" s="196">
        <v>2000</v>
      </c>
      <c r="L424" s="196">
        <v>2000</v>
      </c>
      <c r="M424" s="511">
        <f t="shared" si="58"/>
        <v>0</v>
      </c>
    </row>
    <row r="425" spans="1:13" ht="14.25" customHeight="1">
      <c r="A425" s="137"/>
      <c r="B425" s="23">
        <v>412000</v>
      </c>
      <c r="C425" s="17"/>
      <c r="D425" s="32" t="s">
        <v>142</v>
      </c>
      <c r="E425" s="187">
        <f>SUM(E426:E434)</f>
        <v>130900</v>
      </c>
      <c r="F425" s="187">
        <f>SUM(F426:F434)</f>
        <v>-23632</v>
      </c>
      <c r="G425" s="187">
        <f>SUM(G426:G434)</f>
        <v>107268</v>
      </c>
      <c r="H425" s="187">
        <f t="shared" si="59"/>
        <v>81.94652406417113</v>
      </c>
      <c r="I425" s="315">
        <f t="shared" si="60"/>
        <v>0.462539927529892</v>
      </c>
      <c r="K425" s="187">
        <f>SUM(K426:K434)</f>
        <v>107268</v>
      </c>
      <c r="L425" s="187">
        <f>SUM(L426:L434)</f>
        <v>124268</v>
      </c>
      <c r="M425" s="511">
        <f t="shared" si="58"/>
        <v>-17000</v>
      </c>
    </row>
    <row r="426" spans="1:13" ht="24">
      <c r="A426" s="137" t="s">
        <v>58</v>
      </c>
      <c r="B426" s="23"/>
      <c r="C426" s="17">
        <v>412200</v>
      </c>
      <c r="D426" s="30" t="s">
        <v>144</v>
      </c>
      <c r="E426" s="196">
        <v>40000</v>
      </c>
      <c r="F426" s="196">
        <f t="shared" si="61"/>
        <v>-5000</v>
      </c>
      <c r="G426" s="196">
        <v>35000</v>
      </c>
      <c r="H426" s="207">
        <f t="shared" si="59"/>
        <v>87.5</v>
      </c>
      <c r="I426" s="318">
        <f t="shared" si="60"/>
        <v>0.15092010164770686</v>
      </c>
      <c r="K426" s="196">
        <v>35000</v>
      </c>
      <c r="L426" s="196">
        <v>40000</v>
      </c>
      <c r="M426" s="511">
        <f t="shared" si="58"/>
        <v>-5000</v>
      </c>
    </row>
    <row r="427" spans="1:13" ht="12.75">
      <c r="A427" s="137" t="s">
        <v>58</v>
      </c>
      <c r="B427" s="23"/>
      <c r="C427" s="17">
        <v>412300</v>
      </c>
      <c r="D427" s="33" t="s">
        <v>145</v>
      </c>
      <c r="E427" s="196">
        <v>7500</v>
      </c>
      <c r="F427" s="196">
        <f t="shared" si="61"/>
        <v>0</v>
      </c>
      <c r="G427" s="196">
        <v>7500</v>
      </c>
      <c r="H427" s="207">
        <f t="shared" si="59"/>
        <v>100</v>
      </c>
      <c r="I427" s="318">
        <f t="shared" si="60"/>
        <v>0.03234002178165147</v>
      </c>
      <c r="K427" s="196">
        <v>7500</v>
      </c>
      <c r="L427" s="196">
        <v>7500</v>
      </c>
      <c r="M427" s="511">
        <f t="shared" si="58"/>
        <v>0</v>
      </c>
    </row>
    <row r="428" spans="1:13" ht="12.75">
      <c r="A428" s="137" t="s">
        <v>58</v>
      </c>
      <c r="B428" s="23"/>
      <c r="C428" s="17">
        <v>412400</v>
      </c>
      <c r="D428" s="30" t="s">
        <v>146</v>
      </c>
      <c r="E428" s="184">
        <v>65000</v>
      </c>
      <c r="F428" s="184">
        <f t="shared" si="61"/>
        <v>-24840</v>
      </c>
      <c r="G428" s="184">
        <v>40160</v>
      </c>
      <c r="H428" s="207">
        <f t="shared" si="59"/>
        <v>61.784615384615385</v>
      </c>
      <c r="I428" s="318">
        <f t="shared" si="60"/>
        <v>0.17317003663348307</v>
      </c>
      <c r="K428" s="184">
        <v>40160</v>
      </c>
      <c r="L428" s="184">
        <v>52160</v>
      </c>
      <c r="M428" s="511">
        <f t="shared" si="58"/>
        <v>-12000</v>
      </c>
    </row>
    <row r="429" spans="1:13" ht="24" hidden="1">
      <c r="A429" s="137" t="s">
        <v>58</v>
      </c>
      <c r="B429" s="23"/>
      <c r="C429" s="17">
        <v>412400</v>
      </c>
      <c r="D429" s="30" t="s">
        <v>493</v>
      </c>
      <c r="E429" s="184">
        <v>0</v>
      </c>
      <c r="F429" s="184">
        <f t="shared" si="61"/>
        <v>0</v>
      </c>
      <c r="G429" s="184">
        <v>0</v>
      </c>
      <c r="H429" s="207">
        <f t="shared" si="59"/>
        <v>0</v>
      </c>
      <c r="I429" s="318">
        <f t="shared" si="60"/>
        <v>0</v>
      </c>
      <c r="K429" s="184"/>
      <c r="L429" s="184">
        <v>0</v>
      </c>
      <c r="M429" s="511">
        <f t="shared" si="58"/>
        <v>0</v>
      </c>
    </row>
    <row r="430" spans="1:13" ht="12.75">
      <c r="A430" s="137" t="s">
        <v>58</v>
      </c>
      <c r="B430" s="23"/>
      <c r="C430" s="17">
        <v>412500</v>
      </c>
      <c r="D430" s="33" t="s">
        <v>147</v>
      </c>
      <c r="E430" s="184">
        <v>5000</v>
      </c>
      <c r="F430" s="184">
        <f t="shared" si="61"/>
        <v>1500</v>
      </c>
      <c r="G430" s="184">
        <v>6500</v>
      </c>
      <c r="H430" s="207">
        <f t="shared" si="59"/>
        <v>130</v>
      </c>
      <c r="I430" s="318">
        <f t="shared" si="60"/>
        <v>0.028028018877431275</v>
      </c>
      <c r="K430" s="184">
        <v>6500</v>
      </c>
      <c r="L430" s="184">
        <v>6500</v>
      </c>
      <c r="M430" s="511">
        <f t="shared" si="58"/>
        <v>0</v>
      </c>
    </row>
    <row r="431" spans="1:13" ht="12.75">
      <c r="A431" s="137" t="s">
        <v>58</v>
      </c>
      <c r="B431" s="23"/>
      <c r="C431" s="17">
        <v>412600</v>
      </c>
      <c r="D431" s="33" t="s">
        <v>148</v>
      </c>
      <c r="E431" s="184">
        <v>500</v>
      </c>
      <c r="F431" s="184">
        <f t="shared" si="61"/>
        <v>0</v>
      </c>
      <c r="G431" s="184">
        <v>500</v>
      </c>
      <c r="H431" s="207">
        <f t="shared" si="59"/>
        <v>100</v>
      </c>
      <c r="I431" s="318">
        <f t="shared" si="60"/>
        <v>0.002156001452110098</v>
      </c>
      <c r="K431" s="184">
        <v>500</v>
      </c>
      <c r="L431" s="184">
        <v>500</v>
      </c>
      <c r="M431" s="511">
        <f t="shared" si="58"/>
        <v>0</v>
      </c>
    </row>
    <row r="432" spans="1:13" ht="12.75">
      <c r="A432" s="137" t="s">
        <v>58</v>
      </c>
      <c r="B432" s="23"/>
      <c r="C432" s="78">
        <v>412700</v>
      </c>
      <c r="D432" s="78" t="s">
        <v>149</v>
      </c>
      <c r="E432" s="184">
        <v>1500</v>
      </c>
      <c r="F432" s="184">
        <f t="shared" si="61"/>
        <v>600</v>
      </c>
      <c r="G432" s="184">
        <v>2100</v>
      </c>
      <c r="H432" s="207">
        <f t="shared" si="59"/>
        <v>140</v>
      </c>
      <c r="I432" s="318">
        <f t="shared" si="60"/>
        <v>0.009055206098862411</v>
      </c>
      <c r="K432" s="184">
        <v>2100</v>
      </c>
      <c r="L432" s="184">
        <v>2100</v>
      </c>
      <c r="M432" s="511">
        <f t="shared" si="58"/>
        <v>0</v>
      </c>
    </row>
    <row r="433" spans="1:13" ht="12.75">
      <c r="A433" s="137" t="s">
        <v>58</v>
      </c>
      <c r="B433" s="23"/>
      <c r="C433" s="78">
        <v>412900</v>
      </c>
      <c r="D433" s="78" t="s">
        <v>151</v>
      </c>
      <c r="E433" s="184">
        <v>6500</v>
      </c>
      <c r="F433" s="184">
        <f t="shared" si="61"/>
        <v>3200</v>
      </c>
      <c r="G433" s="184">
        <v>9700</v>
      </c>
      <c r="H433" s="207">
        <f t="shared" si="59"/>
        <v>149.23076923076923</v>
      </c>
      <c r="I433" s="318">
        <f t="shared" si="60"/>
        <v>0.0418264281709359</v>
      </c>
      <c r="K433" s="184">
        <v>9700</v>
      </c>
      <c r="L433" s="184">
        <v>9700</v>
      </c>
      <c r="M433" s="511">
        <f t="shared" si="58"/>
        <v>0</v>
      </c>
    </row>
    <row r="434" spans="1:13" ht="24" customHeight="1">
      <c r="A434" s="137" t="s">
        <v>58</v>
      </c>
      <c r="B434" s="23"/>
      <c r="C434" s="78">
        <v>412900</v>
      </c>
      <c r="D434" s="30" t="s">
        <v>436</v>
      </c>
      <c r="E434" s="196">
        <v>4900</v>
      </c>
      <c r="F434" s="196">
        <f t="shared" si="61"/>
        <v>908</v>
      </c>
      <c r="G434" s="196">
        <v>5808</v>
      </c>
      <c r="H434" s="207">
        <f t="shared" si="59"/>
        <v>118.53061224489795</v>
      </c>
      <c r="I434" s="318">
        <f t="shared" si="60"/>
        <v>0.025044112867710897</v>
      </c>
      <c r="K434" s="196">
        <v>5808</v>
      </c>
      <c r="L434" s="196">
        <v>5808</v>
      </c>
      <c r="M434" s="511">
        <f t="shared" si="58"/>
        <v>0</v>
      </c>
    </row>
    <row r="435" spans="1:13" ht="14.25" customHeight="1">
      <c r="A435" s="137"/>
      <c r="B435" s="33">
        <v>511000</v>
      </c>
      <c r="C435" s="17"/>
      <c r="D435" s="32" t="s">
        <v>160</v>
      </c>
      <c r="E435" s="187">
        <f>SUM(E436)</f>
        <v>20000</v>
      </c>
      <c r="F435" s="187">
        <f>SUM(F436)</f>
        <v>7540</v>
      </c>
      <c r="G435" s="187">
        <f>SUM(G436)</f>
        <v>27540</v>
      </c>
      <c r="H435" s="187">
        <f t="shared" si="59"/>
        <v>137.7</v>
      </c>
      <c r="I435" s="315">
        <f t="shared" si="60"/>
        <v>0.1187525599822242</v>
      </c>
      <c r="K435" s="187">
        <f>SUM(K436)</f>
        <v>27540</v>
      </c>
      <c r="L435" s="187">
        <f>SUM(L436)</f>
        <v>27540</v>
      </c>
      <c r="M435" s="511">
        <f t="shared" si="58"/>
        <v>0</v>
      </c>
    </row>
    <row r="436" spans="1:13" ht="12" customHeight="1">
      <c r="A436" s="137" t="s">
        <v>58</v>
      </c>
      <c r="B436" s="33"/>
      <c r="C436" s="17">
        <v>511300</v>
      </c>
      <c r="D436" s="33" t="s">
        <v>2</v>
      </c>
      <c r="E436" s="184">
        <v>20000</v>
      </c>
      <c r="F436" s="184">
        <f t="shared" si="61"/>
        <v>7540</v>
      </c>
      <c r="G436" s="184">
        <v>27540</v>
      </c>
      <c r="H436" s="207">
        <f t="shared" si="59"/>
        <v>137.7</v>
      </c>
      <c r="I436" s="318">
        <f t="shared" si="60"/>
        <v>0.1187525599822242</v>
      </c>
      <c r="K436" s="184">
        <v>27540</v>
      </c>
      <c r="L436" s="184">
        <v>27540</v>
      </c>
      <c r="M436" s="511">
        <f t="shared" si="58"/>
        <v>0</v>
      </c>
    </row>
    <row r="437" spans="1:13" ht="24" customHeight="1">
      <c r="A437" s="137"/>
      <c r="B437" s="33">
        <v>516000</v>
      </c>
      <c r="C437" s="17"/>
      <c r="D437" s="59" t="s">
        <v>365</v>
      </c>
      <c r="E437" s="187">
        <f>SUM(E438)</f>
        <v>2000</v>
      </c>
      <c r="F437" s="187">
        <f>SUM(F438)</f>
        <v>0</v>
      </c>
      <c r="G437" s="187">
        <f>SUM(G438)</f>
        <v>2000</v>
      </c>
      <c r="H437" s="187">
        <f t="shared" si="59"/>
        <v>100</v>
      </c>
      <c r="I437" s="315">
        <f t="shared" si="60"/>
        <v>0.008624005808440392</v>
      </c>
      <c r="K437" s="187">
        <f>SUM(K438)</f>
        <v>2000</v>
      </c>
      <c r="L437" s="187">
        <f>SUM(L438)</f>
        <v>2000</v>
      </c>
      <c r="M437" s="511">
        <f t="shared" si="58"/>
        <v>0</v>
      </c>
    </row>
    <row r="438" spans="1:13" ht="12.75">
      <c r="A438" s="137" t="s">
        <v>58</v>
      </c>
      <c r="B438" s="33"/>
      <c r="C438" s="17">
        <v>516100</v>
      </c>
      <c r="D438" s="33" t="s">
        <v>346</v>
      </c>
      <c r="E438" s="196">
        <v>2000</v>
      </c>
      <c r="F438" s="196">
        <f t="shared" si="61"/>
        <v>0</v>
      </c>
      <c r="G438" s="196">
        <v>2000</v>
      </c>
      <c r="H438" s="207">
        <f t="shared" si="59"/>
        <v>100</v>
      </c>
      <c r="I438" s="318">
        <f t="shared" si="60"/>
        <v>0.008624005808440392</v>
      </c>
      <c r="K438" s="196">
        <v>2000</v>
      </c>
      <c r="L438" s="196">
        <v>2000</v>
      </c>
      <c r="M438" s="511">
        <f t="shared" si="58"/>
        <v>0</v>
      </c>
    </row>
    <row r="439" spans="1:13" ht="12.75" hidden="1">
      <c r="A439" s="137" t="s">
        <v>58</v>
      </c>
      <c r="B439" s="33"/>
      <c r="C439" s="17">
        <v>516100</v>
      </c>
      <c r="D439" s="33" t="s">
        <v>494</v>
      </c>
      <c r="E439" s="196">
        <v>0</v>
      </c>
      <c r="F439" s="196">
        <f t="shared" si="61"/>
        <v>0</v>
      </c>
      <c r="G439" s="196">
        <v>0</v>
      </c>
      <c r="H439" s="207">
        <f t="shared" si="59"/>
        <v>0</v>
      </c>
      <c r="I439" s="318">
        <f t="shared" si="60"/>
        <v>0</v>
      </c>
      <c r="K439" s="196">
        <v>0</v>
      </c>
      <c r="L439" s="196">
        <v>0</v>
      </c>
      <c r="M439" s="511">
        <f t="shared" si="58"/>
        <v>0</v>
      </c>
    </row>
    <row r="440" spans="1:13" ht="21.75" customHeight="1">
      <c r="A440" s="137"/>
      <c r="B440" s="23">
        <v>638000</v>
      </c>
      <c r="C440" s="17"/>
      <c r="D440" s="32" t="s">
        <v>406</v>
      </c>
      <c r="E440" s="65">
        <f>SUM(E441)</f>
        <v>7000</v>
      </c>
      <c r="F440" s="65">
        <f>SUM(F441)</f>
        <v>1500</v>
      </c>
      <c r="G440" s="65">
        <f>SUM(G441)</f>
        <v>8500</v>
      </c>
      <c r="H440" s="187">
        <f t="shared" si="59"/>
        <v>121.42857142857142</v>
      </c>
      <c r="I440" s="315">
        <f t="shared" si="60"/>
        <v>0.03665202468587167</v>
      </c>
      <c r="K440" s="65">
        <f>SUM(K441)</f>
        <v>8500</v>
      </c>
      <c r="L440" s="65">
        <f>SUM(L441)</f>
        <v>8500</v>
      </c>
      <c r="M440" s="511">
        <f t="shared" si="58"/>
        <v>0</v>
      </c>
    </row>
    <row r="441" spans="1:13" ht="37.5" customHeight="1">
      <c r="A441" s="137"/>
      <c r="B441" s="33"/>
      <c r="C441" s="17">
        <v>638100</v>
      </c>
      <c r="D441" s="30" t="s">
        <v>407</v>
      </c>
      <c r="E441" s="196">
        <v>7000</v>
      </c>
      <c r="F441" s="196">
        <f t="shared" si="61"/>
        <v>1500</v>
      </c>
      <c r="G441" s="196">
        <v>8500</v>
      </c>
      <c r="H441" s="207">
        <f t="shared" si="59"/>
        <v>121.42857142857142</v>
      </c>
      <c r="I441" s="318">
        <f t="shared" si="60"/>
        <v>0.03665202468587167</v>
      </c>
      <c r="K441" s="196">
        <v>8500</v>
      </c>
      <c r="L441" s="196">
        <v>8500</v>
      </c>
      <c r="M441" s="511">
        <f t="shared" si="58"/>
        <v>0</v>
      </c>
    </row>
    <row r="442" spans="1:13" ht="25.5" customHeight="1">
      <c r="A442" s="548"/>
      <c r="B442" s="549"/>
      <c r="C442" s="550" t="s">
        <v>96</v>
      </c>
      <c r="D442" s="551"/>
      <c r="E442" s="71">
        <f>E420+E425+E435+E437+E440</f>
        <v>629900</v>
      </c>
      <c r="F442" s="71">
        <f>F420+F425+F435+F437+F440</f>
        <v>4908</v>
      </c>
      <c r="G442" s="71">
        <f>G420+G425+G435+G437+G440</f>
        <v>634808</v>
      </c>
      <c r="H442" s="323">
        <f t="shared" si="59"/>
        <v>100.77917129703127</v>
      </c>
      <c r="I442" s="325">
        <f t="shared" si="60"/>
        <v>2.737293939622214</v>
      </c>
      <c r="K442" s="71">
        <f>K420+K425+K435+K437+K440</f>
        <v>634808</v>
      </c>
      <c r="L442" s="71">
        <f>L420+L425+L435+L437+L440</f>
        <v>630808</v>
      </c>
      <c r="M442" s="511">
        <f t="shared" si="58"/>
        <v>4000</v>
      </c>
    </row>
    <row r="443" spans="1:13" ht="39.75" customHeight="1">
      <c r="A443" s="548"/>
      <c r="B443" s="549"/>
      <c r="C443" s="560" t="s">
        <v>324</v>
      </c>
      <c r="D443" s="561"/>
      <c r="E443" s="178"/>
      <c r="F443" s="178"/>
      <c r="G443" s="178"/>
      <c r="H443" s="178"/>
      <c r="I443" s="316"/>
      <c r="K443" s="178"/>
      <c r="L443" s="178"/>
      <c r="M443" s="511">
        <f t="shared" si="58"/>
        <v>0</v>
      </c>
    </row>
    <row r="444" spans="1:13" ht="14.25" customHeight="1">
      <c r="A444" s="137"/>
      <c r="B444" s="23">
        <v>412000</v>
      </c>
      <c r="C444" s="101"/>
      <c r="D444" s="32" t="s">
        <v>142</v>
      </c>
      <c r="E444" s="187">
        <f>SUM(E445:E449)</f>
        <v>9000</v>
      </c>
      <c r="F444" s="187">
        <f>SUM(F445:F449)</f>
        <v>-400</v>
      </c>
      <c r="G444" s="187">
        <f>SUM(G445:G449)</f>
        <v>8600</v>
      </c>
      <c r="H444" s="187">
        <f aca="true" t="shared" si="62" ref="H444:H452">IF(E444&gt;0,G444/E444*100,0)</f>
        <v>95.55555555555556</v>
      </c>
      <c r="I444" s="315">
        <f aca="true" t="shared" si="63" ref="I444:I452">G444/$G$502*100</f>
        <v>0.03708322497629369</v>
      </c>
      <c r="K444" s="187">
        <f>SUM(K445:K449)</f>
        <v>0</v>
      </c>
      <c r="L444" s="187">
        <f>SUM(L445:L449)</f>
        <v>9000</v>
      </c>
      <c r="M444" s="511">
        <f t="shared" si="58"/>
        <v>-400</v>
      </c>
    </row>
    <row r="445" spans="1:13" ht="24" customHeight="1">
      <c r="A445" s="137" t="s">
        <v>36</v>
      </c>
      <c r="B445" s="33"/>
      <c r="C445" s="152">
        <v>412200</v>
      </c>
      <c r="D445" s="30" t="s">
        <v>144</v>
      </c>
      <c r="E445" s="184">
        <v>3400</v>
      </c>
      <c r="F445" s="184">
        <f aca="true" t="shared" si="64" ref="F445:F451">G445-E445</f>
        <v>-600</v>
      </c>
      <c r="G445" s="184">
        <v>2800</v>
      </c>
      <c r="H445" s="207">
        <f t="shared" si="62"/>
        <v>82.35294117647058</v>
      </c>
      <c r="I445" s="318">
        <f t="shared" si="63"/>
        <v>0.012073608131816549</v>
      </c>
      <c r="K445" s="184"/>
      <c r="L445" s="184">
        <v>2800</v>
      </c>
      <c r="M445" s="511">
        <f t="shared" si="58"/>
        <v>0</v>
      </c>
    </row>
    <row r="446" spans="1:13" ht="12.75">
      <c r="A446" s="137" t="s">
        <v>36</v>
      </c>
      <c r="B446" s="33"/>
      <c r="C446" s="152">
        <v>412300</v>
      </c>
      <c r="D446" s="33" t="s">
        <v>145</v>
      </c>
      <c r="E446" s="196">
        <v>500</v>
      </c>
      <c r="F446" s="196">
        <f t="shared" si="64"/>
        <v>600</v>
      </c>
      <c r="G446" s="196">
        <v>1100</v>
      </c>
      <c r="H446" s="207">
        <f t="shared" si="62"/>
        <v>220.00000000000003</v>
      </c>
      <c r="I446" s="318">
        <f t="shared" si="63"/>
        <v>0.004743203194642215</v>
      </c>
      <c r="K446" s="196"/>
      <c r="L446" s="196">
        <v>1100</v>
      </c>
      <c r="M446" s="511">
        <f t="shared" si="58"/>
        <v>0</v>
      </c>
    </row>
    <row r="447" spans="1:13" ht="12.75">
      <c r="A447" s="137" t="s">
        <v>36</v>
      </c>
      <c r="B447" s="33"/>
      <c r="C447" s="152">
        <v>412500</v>
      </c>
      <c r="D447" s="33" t="s">
        <v>147</v>
      </c>
      <c r="E447" s="196">
        <v>2000</v>
      </c>
      <c r="F447" s="196">
        <f t="shared" si="64"/>
        <v>0</v>
      </c>
      <c r="G447" s="196">
        <v>2000</v>
      </c>
      <c r="H447" s="207">
        <f t="shared" si="62"/>
        <v>100</v>
      </c>
      <c r="I447" s="318">
        <f t="shared" si="63"/>
        <v>0.008624005808440392</v>
      </c>
      <c r="K447" s="196"/>
      <c r="L447" s="196">
        <v>2000</v>
      </c>
      <c r="M447" s="511">
        <f t="shared" si="58"/>
        <v>0</v>
      </c>
    </row>
    <row r="448" spans="1:13" ht="12.75">
      <c r="A448" s="137" t="s">
        <v>36</v>
      </c>
      <c r="B448" s="33"/>
      <c r="C448" s="152">
        <v>412700</v>
      </c>
      <c r="D448" s="78" t="s">
        <v>149</v>
      </c>
      <c r="E448" s="184">
        <v>2000</v>
      </c>
      <c r="F448" s="184">
        <f t="shared" si="64"/>
        <v>0</v>
      </c>
      <c r="G448" s="184">
        <v>2000</v>
      </c>
      <c r="H448" s="207">
        <f t="shared" si="62"/>
        <v>100</v>
      </c>
      <c r="I448" s="318">
        <f t="shared" si="63"/>
        <v>0.008624005808440392</v>
      </c>
      <c r="K448" s="184"/>
      <c r="L448" s="184">
        <v>2000</v>
      </c>
      <c r="M448" s="511">
        <f t="shared" si="58"/>
        <v>0</v>
      </c>
    </row>
    <row r="449" spans="1:13" ht="12.75">
      <c r="A449" s="137" t="s">
        <v>36</v>
      </c>
      <c r="B449" s="33"/>
      <c r="C449" s="152">
        <v>412900</v>
      </c>
      <c r="D449" s="78" t="s">
        <v>151</v>
      </c>
      <c r="E449" s="184">
        <v>1100</v>
      </c>
      <c r="F449" s="184">
        <f t="shared" si="64"/>
        <v>-400</v>
      </c>
      <c r="G449" s="270">
        <v>700</v>
      </c>
      <c r="H449" s="207">
        <f t="shared" si="62"/>
        <v>63.63636363636363</v>
      </c>
      <c r="I449" s="318">
        <f t="shared" si="63"/>
        <v>0.003018402032954137</v>
      </c>
      <c r="K449" s="184"/>
      <c r="L449" s="184">
        <v>1100</v>
      </c>
      <c r="M449" s="511">
        <f t="shared" si="58"/>
        <v>-400</v>
      </c>
    </row>
    <row r="450" spans="1:13" ht="12.75">
      <c r="A450" s="137"/>
      <c r="B450" s="23">
        <v>511000</v>
      </c>
      <c r="C450" s="102"/>
      <c r="D450" s="32" t="s">
        <v>160</v>
      </c>
      <c r="E450" s="187">
        <f>SUM(E451)</f>
        <v>800</v>
      </c>
      <c r="F450" s="187">
        <f>SUM(F451)</f>
        <v>0</v>
      </c>
      <c r="G450" s="187">
        <f>SUM(G451)</f>
        <v>800</v>
      </c>
      <c r="H450" s="187">
        <f t="shared" si="62"/>
        <v>100</v>
      </c>
      <c r="I450" s="315">
        <f t="shared" si="63"/>
        <v>0.003449602323376157</v>
      </c>
      <c r="K450" s="187">
        <f>SUM(K451)</f>
        <v>0</v>
      </c>
      <c r="L450" s="187">
        <f>SUM(L451)</f>
        <v>800</v>
      </c>
      <c r="M450" s="511">
        <f t="shared" si="58"/>
        <v>0</v>
      </c>
    </row>
    <row r="451" spans="1:13" ht="12.75">
      <c r="A451" s="137" t="s">
        <v>36</v>
      </c>
      <c r="B451" s="33"/>
      <c r="C451" s="152">
        <v>511300</v>
      </c>
      <c r="D451" s="33" t="s">
        <v>2</v>
      </c>
      <c r="E451" s="186">
        <v>800</v>
      </c>
      <c r="F451" s="70">
        <f t="shared" si="64"/>
        <v>0</v>
      </c>
      <c r="G451" s="186">
        <v>800</v>
      </c>
      <c r="H451" s="207">
        <f t="shared" si="62"/>
        <v>100</v>
      </c>
      <c r="I451" s="318">
        <f t="shared" si="63"/>
        <v>0.003449602323376157</v>
      </c>
      <c r="K451" s="70"/>
      <c r="L451" s="186">
        <v>800</v>
      </c>
      <c r="M451" s="511">
        <f t="shared" si="58"/>
        <v>0</v>
      </c>
    </row>
    <row r="452" spans="1:13" ht="30" customHeight="1">
      <c r="A452" s="548"/>
      <c r="B452" s="549"/>
      <c r="C452" s="550" t="s">
        <v>325</v>
      </c>
      <c r="D452" s="550"/>
      <c r="E452" s="66">
        <f>E444+E450</f>
        <v>9800</v>
      </c>
      <c r="F452" s="66">
        <f>F444+F450</f>
        <v>-400</v>
      </c>
      <c r="G452" s="66">
        <f>G444+G450</f>
        <v>9400</v>
      </c>
      <c r="H452" s="323">
        <f t="shared" si="62"/>
        <v>95.91836734693877</v>
      </c>
      <c r="I452" s="325">
        <f t="shared" si="63"/>
        <v>0.040532827299669845</v>
      </c>
      <c r="K452" s="66">
        <f>K444+K450</f>
        <v>0</v>
      </c>
      <c r="L452" s="66">
        <f>L444+L450</f>
        <v>9800</v>
      </c>
      <c r="M452" s="511">
        <f t="shared" si="58"/>
        <v>-400</v>
      </c>
    </row>
    <row r="453" spans="1:13" ht="19.5" customHeight="1">
      <c r="A453" s="556"/>
      <c r="B453" s="557"/>
      <c r="C453" s="560" t="s">
        <v>294</v>
      </c>
      <c r="D453" s="564"/>
      <c r="E453" s="172"/>
      <c r="F453" s="172"/>
      <c r="G453" s="172"/>
      <c r="H453" s="172"/>
      <c r="I453" s="369"/>
      <c r="K453" s="172"/>
      <c r="L453" s="172"/>
      <c r="M453" s="511">
        <f t="shared" si="58"/>
        <v>0</v>
      </c>
    </row>
    <row r="454" spans="1:13" ht="16.5" customHeight="1">
      <c r="A454" s="556"/>
      <c r="B454" s="557"/>
      <c r="C454" s="565"/>
      <c r="D454" s="564"/>
      <c r="E454" s="174"/>
      <c r="F454" s="174"/>
      <c r="G454" s="174"/>
      <c r="H454" s="174"/>
      <c r="I454" s="371"/>
      <c r="K454" s="174"/>
      <c r="L454" s="174"/>
      <c r="M454" s="511">
        <f t="shared" si="58"/>
        <v>0</v>
      </c>
    </row>
    <row r="455" spans="1:13" ht="14.25" customHeight="1">
      <c r="A455" s="28"/>
      <c r="B455" s="23">
        <v>412000</v>
      </c>
      <c r="C455" s="17"/>
      <c r="D455" s="32" t="s">
        <v>142</v>
      </c>
      <c r="E455" s="357">
        <f>SUM(E456:E456)</f>
        <v>500</v>
      </c>
      <c r="F455" s="357">
        <f>SUM(F456:F456)</f>
        <v>0</v>
      </c>
      <c r="G455" s="357">
        <f>SUM(G456:G456)</f>
        <v>500</v>
      </c>
      <c r="H455" s="357">
        <f aca="true" t="shared" si="65" ref="H455:H497">IF(E455&gt;0,G455/E455*100,0)</f>
        <v>100</v>
      </c>
      <c r="I455" s="358">
        <f aca="true" t="shared" si="66" ref="I455:I497">G455/$G$502*100</f>
        <v>0.002156001452110098</v>
      </c>
      <c r="K455" s="357">
        <f>SUM(K456:K456)</f>
        <v>500</v>
      </c>
      <c r="L455" s="357">
        <f>SUM(L456:L456)</f>
        <v>500</v>
      </c>
      <c r="M455" s="511">
        <f t="shared" si="58"/>
        <v>0</v>
      </c>
    </row>
    <row r="456" spans="1:13" ht="38.25" customHeight="1">
      <c r="A456" s="137" t="s">
        <v>27</v>
      </c>
      <c r="B456" s="23"/>
      <c r="C456" s="30">
        <v>412900</v>
      </c>
      <c r="D456" s="34" t="s">
        <v>471</v>
      </c>
      <c r="E456" s="196">
        <v>500</v>
      </c>
      <c r="F456" s="196">
        <f aca="true" t="shared" si="67" ref="F456:F496">G456-E456</f>
        <v>0</v>
      </c>
      <c r="G456" s="196">
        <v>500</v>
      </c>
      <c r="H456" s="207">
        <f t="shared" si="65"/>
        <v>100</v>
      </c>
      <c r="I456" s="318">
        <f t="shared" si="66"/>
        <v>0.002156001452110098</v>
      </c>
      <c r="K456" s="196">
        <v>500</v>
      </c>
      <c r="L456" s="196">
        <v>500</v>
      </c>
      <c r="M456" s="511">
        <f t="shared" si="58"/>
        <v>0</v>
      </c>
    </row>
    <row r="457" spans="1:13" ht="17.25" customHeight="1">
      <c r="A457" s="137"/>
      <c r="B457" s="23">
        <v>413000</v>
      </c>
      <c r="C457" s="30"/>
      <c r="D457" s="59" t="s">
        <v>152</v>
      </c>
      <c r="E457" s="187">
        <f>E458+E466</f>
        <v>286500</v>
      </c>
      <c r="F457" s="187">
        <f>F458+F466</f>
        <v>-35228</v>
      </c>
      <c r="G457" s="187">
        <f>G458+G466</f>
        <v>251272</v>
      </c>
      <c r="H457" s="187">
        <f t="shared" si="65"/>
        <v>87.70401396160558</v>
      </c>
      <c r="I457" s="315">
        <f t="shared" si="66"/>
        <v>1.0834855937492172</v>
      </c>
      <c r="K457" s="187">
        <f>K458+K466</f>
        <v>251270.86</v>
      </c>
      <c r="L457" s="187">
        <f>L458+L466</f>
        <v>266100</v>
      </c>
      <c r="M457" s="511">
        <f t="shared" si="58"/>
        <v>-14828</v>
      </c>
    </row>
    <row r="458" spans="1:13" ht="17.25" customHeight="1">
      <c r="A458" s="137"/>
      <c r="B458" s="23"/>
      <c r="C458" s="59"/>
      <c r="D458" s="59" t="s">
        <v>153</v>
      </c>
      <c r="E458" s="251">
        <f>SUM(E459:E465)</f>
        <v>250500</v>
      </c>
      <c r="F458" s="251">
        <f>SUM(F459:F465)</f>
        <v>-24728</v>
      </c>
      <c r="G458" s="251">
        <f>SUM(G459:G465)</f>
        <v>225772</v>
      </c>
      <c r="H458" s="320">
        <f t="shared" si="65"/>
        <v>90.12854291417166</v>
      </c>
      <c r="I458" s="319">
        <f t="shared" si="66"/>
        <v>0.9735295196916022</v>
      </c>
      <c r="K458" s="251">
        <f>SUM(K459:K465)</f>
        <v>225770.86</v>
      </c>
      <c r="L458" s="251">
        <f>SUM(L459:L465)</f>
        <v>240500</v>
      </c>
      <c r="M458" s="511">
        <f t="shared" si="58"/>
        <v>-14728</v>
      </c>
    </row>
    <row r="459" spans="1:13" ht="12.75" customHeight="1">
      <c r="A459" s="137" t="s">
        <v>60</v>
      </c>
      <c r="B459" s="33"/>
      <c r="C459" s="37">
        <v>413300</v>
      </c>
      <c r="D459" s="30" t="s">
        <v>131</v>
      </c>
      <c r="E459" s="196">
        <v>15500</v>
      </c>
      <c r="F459" s="196">
        <f t="shared" si="67"/>
        <v>0</v>
      </c>
      <c r="G459" s="196">
        <v>15500</v>
      </c>
      <c r="H459" s="207">
        <f t="shared" si="65"/>
        <v>100</v>
      </c>
      <c r="I459" s="318">
        <f t="shared" si="66"/>
        <v>0.06683604501541303</v>
      </c>
      <c r="K459" s="196">
        <v>15500</v>
      </c>
      <c r="L459" s="196">
        <v>15500</v>
      </c>
      <c r="M459" s="511">
        <f t="shared" si="58"/>
        <v>0</v>
      </c>
    </row>
    <row r="460" spans="1:13" ht="12.75" customHeight="1">
      <c r="A460" s="137" t="s">
        <v>60</v>
      </c>
      <c r="B460" s="33"/>
      <c r="C460" s="37">
        <v>413300</v>
      </c>
      <c r="D460" s="30" t="s">
        <v>132</v>
      </c>
      <c r="E460" s="184">
        <v>0</v>
      </c>
      <c r="F460" s="184">
        <f t="shared" si="67"/>
        <v>11629</v>
      </c>
      <c r="G460" s="184">
        <v>11629</v>
      </c>
      <c r="H460" s="207">
        <f t="shared" si="65"/>
        <v>0</v>
      </c>
      <c r="I460" s="318">
        <f t="shared" si="66"/>
        <v>0.05014428177317666</v>
      </c>
      <c r="K460" s="184">
        <v>11628.92</v>
      </c>
      <c r="L460" s="184">
        <v>11628.92</v>
      </c>
      <c r="M460" s="511">
        <f t="shared" si="58"/>
        <v>0.07999999999992724</v>
      </c>
    </row>
    <row r="461" spans="1:13" ht="12.75" customHeight="1">
      <c r="A461" s="137" t="s">
        <v>60</v>
      </c>
      <c r="B461" s="33"/>
      <c r="C461" s="37">
        <v>413300</v>
      </c>
      <c r="D461" s="30" t="s">
        <v>134</v>
      </c>
      <c r="E461" s="184">
        <v>0</v>
      </c>
      <c r="F461" s="184">
        <f t="shared" si="67"/>
        <v>4553</v>
      </c>
      <c r="G461" s="184">
        <v>4553</v>
      </c>
      <c r="H461" s="207">
        <f t="shared" si="65"/>
        <v>0</v>
      </c>
      <c r="I461" s="318">
        <f t="shared" si="66"/>
        <v>0.019632549222914554</v>
      </c>
      <c r="K461" s="184">
        <v>4552.54</v>
      </c>
      <c r="L461" s="184">
        <v>4552.54</v>
      </c>
      <c r="M461" s="511">
        <f t="shared" si="58"/>
        <v>0.4600000000000364</v>
      </c>
    </row>
    <row r="462" spans="1:13" ht="12.75" customHeight="1">
      <c r="A462" s="137" t="s">
        <v>60</v>
      </c>
      <c r="B462" s="33"/>
      <c r="C462" s="37">
        <v>413300</v>
      </c>
      <c r="D462" s="30" t="s">
        <v>133</v>
      </c>
      <c r="E462" s="184">
        <v>0</v>
      </c>
      <c r="F462" s="184">
        <f t="shared" si="67"/>
        <v>876</v>
      </c>
      <c r="G462" s="184">
        <v>876</v>
      </c>
      <c r="H462" s="207">
        <f t="shared" si="65"/>
        <v>0</v>
      </c>
      <c r="I462" s="318">
        <f t="shared" si="66"/>
        <v>0.003777314544096892</v>
      </c>
      <c r="K462" s="184">
        <v>875.79</v>
      </c>
      <c r="L462" s="184">
        <v>875.79</v>
      </c>
      <c r="M462" s="511">
        <f aca="true" t="shared" si="68" ref="M462:M502">G462-L462</f>
        <v>0.21000000000003638</v>
      </c>
    </row>
    <row r="463" spans="1:13" ht="12.75" customHeight="1">
      <c r="A463" s="137" t="s">
        <v>60</v>
      </c>
      <c r="B463" s="33"/>
      <c r="C463" s="37">
        <v>413300</v>
      </c>
      <c r="D463" s="30" t="s">
        <v>280</v>
      </c>
      <c r="E463" s="184">
        <v>0</v>
      </c>
      <c r="F463" s="184">
        <f t="shared" si="67"/>
        <v>9276</v>
      </c>
      <c r="G463" s="184">
        <v>9276</v>
      </c>
      <c r="H463" s="207">
        <f t="shared" si="65"/>
        <v>0</v>
      </c>
      <c r="I463" s="318">
        <f t="shared" si="66"/>
        <v>0.03999813893954654</v>
      </c>
      <c r="K463" s="184">
        <v>9275.64</v>
      </c>
      <c r="L463" s="184">
        <v>9275.64</v>
      </c>
      <c r="M463" s="511">
        <f t="shared" si="68"/>
        <v>0.3600000000005821</v>
      </c>
    </row>
    <row r="464" spans="1:13" ht="12.75" customHeight="1">
      <c r="A464" s="137" t="s">
        <v>60</v>
      </c>
      <c r="B464" s="33"/>
      <c r="C464" s="37">
        <v>413300</v>
      </c>
      <c r="D464" s="30" t="s">
        <v>376</v>
      </c>
      <c r="E464" s="184">
        <v>0</v>
      </c>
      <c r="F464" s="184">
        <f t="shared" si="67"/>
        <v>938</v>
      </c>
      <c r="G464" s="184">
        <v>938</v>
      </c>
      <c r="H464" s="207">
        <f t="shared" si="65"/>
        <v>0</v>
      </c>
      <c r="I464" s="318">
        <f t="shared" si="66"/>
        <v>0.0040446587241585435</v>
      </c>
      <c r="K464" s="184">
        <v>937.97</v>
      </c>
      <c r="L464" s="184">
        <v>937.97</v>
      </c>
      <c r="M464" s="511">
        <f t="shared" si="68"/>
        <v>0.029999999999972715</v>
      </c>
    </row>
    <row r="465" spans="1:13" ht="12.75" customHeight="1">
      <c r="A465" s="137" t="s">
        <v>60</v>
      </c>
      <c r="B465" s="33"/>
      <c r="C465" s="37">
        <v>413300</v>
      </c>
      <c r="D465" s="30" t="s">
        <v>473</v>
      </c>
      <c r="E465" s="184">
        <v>235000</v>
      </c>
      <c r="F465" s="184">
        <f t="shared" si="67"/>
        <v>-52000</v>
      </c>
      <c r="G465" s="184">
        <v>183000</v>
      </c>
      <c r="H465" s="207">
        <f t="shared" si="65"/>
        <v>77.87234042553192</v>
      </c>
      <c r="I465" s="318">
        <f t="shared" si="66"/>
        <v>0.789096531472296</v>
      </c>
      <c r="K465" s="184">
        <v>183000</v>
      </c>
      <c r="L465" s="184">
        <v>197729.14</v>
      </c>
      <c r="M465" s="511">
        <f t="shared" si="68"/>
        <v>-14729.140000000014</v>
      </c>
    </row>
    <row r="466" spans="1:13" ht="15" customHeight="1">
      <c r="A466" s="137"/>
      <c r="B466" s="33"/>
      <c r="C466" s="17"/>
      <c r="D466" s="59" t="s">
        <v>369</v>
      </c>
      <c r="E466" s="251">
        <f>SUM(E467:E468)</f>
        <v>36000</v>
      </c>
      <c r="F466" s="251">
        <f>SUM(F467:F468)</f>
        <v>-10500</v>
      </c>
      <c r="G466" s="251">
        <f>SUM(G467:G468)</f>
        <v>25500</v>
      </c>
      <c r="H466" s="321">
        <f t="shared" si="65"/>
        <v>70.83333333333334</v>
      </c>
      <c r="I466" s="319">
        <f t="shared" si="66"/>
        <v>0.109956074057615</v>
      </c>
      <c r="K466" s="251">
        <f>SUM(K467:K468)</f>
        <v>25500</v>
      </c>
      <c r="L466" s="251">
        <f>SUM(L467:L468)</f>
        <v>25600</v>
      </c>
      <c r="M466" s="511">
        <f t="shared" si="68"/>
        <v>-100</v>
      </c>
    </row>
    <row r="467" spans="1:13" ht="19.5" customHeight="1">
      <c r="A467" s="137" t="s">
        <v>60</v>
      </c>
      <c r="B467" s="33"/>
      <c r="C467" s="17">
        <v>413700</v>
      </c>
      <c r="D467" s="30" t="s">
        <v>470</v>
      </c>
      <c r="E467" s="184">
        <v>15000</v>
      </c>
      <c r="F467" s="184">
        <f t="shared" si="67"/>
        <v>0</v>
      </c>
      <c r="G467" s="184">
        <v>15000</v>
      </c>
      <c r="H467" s="196">
        <f t="shared" si="65"/>
        <v>100</v>
      </c>
      <c r="I467" s="318">
        <f t="shared" si="66"/>
        <v>0.06468004356330294</v>
      </c>
      <c r="K467" s="184">
        <v>15000</v>
      </c>
      <c r="L467" s="184">
        <v>15000</v>
      </c>
      <c r="M467" s="511">
        <f t="shared" si="68"/>
        <v>0</v>
      </c>
    </row>
    <row r="468" spans="1:13" ht="26.25" customHeight="1">
      <c r="A468" s="137" t="s">
        <v>60</v>
      </c>
      <c r="B468" s="33"/>
      <c r="C468" s="17">
        <v>413700</v>
      </c>
      <c r="D468" s="30" t="s">
        <v>469</v>
      </c>
      <c r="E468" s="184">
        <v>21000</v>
      </c>
      <c r="F468" s="184">
        <f t="shared" si="67"/>
        <v>-10500</v>
      </c>
      <c r="G468" s="184">
        <v>10500</v>
      </c>
      <c r="H468" s="196">
        <f t="shared" si="65"/>
        <v>50</v>
      </c>
      <c r="I468" s="318">
        <f t="shared" si="66"/>
        <v>0.04527603049431206</v>
      </c>
      <c r="K468" s="184">
        <v>10500</v>
      </c>
      <c r="L468" s="184">
        <v>10600</v>
      </c>
      <c r="M468" s="511">
        <f t="shared" si="68"/>
        <v>-100</v>
      </c>
    </row>
    <row r="469" spans="1:13" ht="24.75" customHeight="1">
      <c r="A469" s="137"/>
      <c r="B469" s="23">
        <v>418000</v>
      </c>
      <c r="C469" s="17"/>
      <c r="D469" s="32" t="s">
        <v>512</v>
      </c>
      <c r="E469" s="357">
        <f aca="true" t="shared" si="69" ref="E469:G470">SUM(E470)</f>
        <v>4000</v>
      </c>
      <c r="F469" s="357">
        <f t="shared" si="69"/>
        <v>0</v>
      </c>
      <c r="G469" s="357">
        <f t="shared" si="69"/>
        <v>4000</v>
      </c>
      <c r="H469" s="357">
        <f t="shared" si="65"/>
        <v>100</v>
      </c>
      <c r="I469" s="358">
        <f t="shared" si="66"/>
        <v>0.017248011616880783</v>
      </c>
      <c r="K469" s="357">
        <f>SUM(K470)</f>
        <v>4000</v>
      </c>
      <c r="L469" s="357">
        <f>SUM(L470)</f>
        <v>4000</v>
      </c>
      <c r="M469" s="511">
        <f t="shared" si="68"/>
        <v>0</v>
      </c>
    </row>
    <row r="470" spans="1:13" ht="24.75" customHeight="1">
      <c r="A470" s="137"/>
      <c r="B470" s="23"/>
      <c r="C470" s="17"/>
      <c r="D470" s="32" t="s">
        <v>515</v>
      </c>
      <c r="E470" s="251">
        <f t="shared" si="69"/>
        <v>4000</v>
      </c>
      <c r="F470" s="251">
        <f t="shared" si="69"/>
        <v>0</v>
      </c>
      <c r="G470" s="251">
        <f t="shared" si="69"/>
        <v>4000</v>
      </c>
      <c r="H470" s="321">
        <f t="shared" si="65"/>
        <v>100</v>
      </c>
      <c r="I470" s="319">
        <f t="shared" si="66"/>
        <v>0.017248011616880783</v>
      </c>
      <c r="K470" s="251">
        <f>SUM(K471)</f>
        <v>4000</v>
      </c>
      <c r="L470" s="251">
        <f>SUM(L471)</f>
        <v>4000</v>
      </c>
      <c r="M470" s="511">
        <f t="shared" si="68"/>
        <v>0</v>
      </c>
    </row>
    <row r="471" spans="1:13" ht="15.75" customHeight="1">
      <c r="A471" s="137" t="s">
        <v>60</v>
      </c>
      <c r="B471" s="33"/>
      <c r="C471" s="17">
        <v>418100</v>
      </c>
      <c r="D471" s="30" t="s">
        <v>246</v>
      </c>
      <c r="E471" s="184">
        <v>4000</v>
      </c>
      <c r="F471" s="184">
        <f t="shared" si="67"/>
        <v>0</v>
      </c>
      <c r="G471" s="184">
        <v>4000</v>
      </c>
      <c r="H471" s="196">
        <f t="shared" si="65"/>
        <v>100</v>
      </c>
      <c r="I471" s="318">
        <f t="shared" si="66"/>
        <v>0.017248011616880783</v>
      </c>
      <c r="K471" s="184">
        <v>4000</v>
      </c>
      <c r="L471" s="184">
        <v>4000</v>
      </c>
      <c r="M471" s="511">
        <f t="shared" si="68"/>
        <v>0</v>
      </c>
    </row>
    <row r="472" spans="1:13" ht="15.75" customHeight="1">
      <c r="A472" s="137"/>
      <c r="B472" s="23">
        <v>487000</v>
      </c>
      <c r="C472" s="17"/>
      <c r="D472" s="32" t="s">
        <v>426</v>
      </c>
      <c r="E472" s="187">
        <f>E473+E477</f>
        <v>12700</v>
      </c>
      <c r="F472" s="187">
        <f>F473+F477</f>
        <v>0</v>
      </c>
      <c r="G472" s="187">
        <f>G473+G477</f>
        <v>12700</v>
      </c>
      <c r="H472" s="187">
        <f t="shared" si="65"/>
        <v>100</v>
      </c>
      <c r="I472" s="315">
        <f t="shared" si="66"/>
        <v>0.05476243688359649</v>
      </c>
      <c r="K472" s="187">
        <f>K473+K477</f>
        <v>12700</v>
      </c>
      <c r="L472" s="187">
        <f>L473+L477</f>
        <v>12700</v>
      </c>
      <c r="M472" s="511">
        <f t="shared" si="68"/>
        <v>0</v>
      </c>
    </row>
    <row r="473" spans="1:13" ht="37.5" customHeight="1">
      <c r="A473" s="137"/>
      <c r="B473" s="23"/>
      <c r="C473" s="17"/>
      <c r="D473" s="46" t="s">
        <v>472</v>
      </c>
      <c r="E473" s="320">
        <f>SUM(E474:E476)</f>
        <v>9500</v>
      </c>
      <c r="F473" s="320">
        <f>SUM(F474:F476)</f>
        <v>0</v>
      </c>
      <c r="G473" s="320">
        <f>SUM(G474:G476)</f>
        <v>9500</v>
      </c>
      <c r="H473" s="320">
        <f t="shared" si="65"/>
        <v>100</v>
      </c>
      <c r="I473" s="319">
        <f t="shared" si="66"/>
        <v>0.040964027590091864</v>
      </c>
      <c r="K473" s="320">
        <f>SUM(K474:K476)</f>
        <v>9500</v>
      </c>
      <c r="L473" s="320">
        <f>SUM(L474:L476)</f>
        <v>9500</v>
      </c>
      <c r="M473" s="511">
        <f t="shared" si="68"/>
        <v>0</v>
      </c>
    </row>
    <row r="474" spans="1:13" ht="12.75">
      <c r="A474" s="137" t="s">
        <v>40</v>
      </c>
      <c r="B474" s="33"/>
      <c r="C474" s="17">
        <v>487200</v>
      </c>
      <c r="D474" s="30" t="s">
        <v>447</v>
      </c>
      <c r="E474" s="196">
        <v>7000</v>
      </c>
      <c r="F474" s="196">
        <f t="shared" si="67"/>
        <v>-800</v>
      </c>
      <c r="G474" s="196">
        <v>6200</v>
      </c>
      <c r="H474" s="317">
        <f t="shared" si="65"/>
        <v>88.57142857142857</v>
      </c>
      <c r="I474" s="318">
        <f t="shared" si="66"/>
        <v>0.026734418006165214</v>
      </c>
      <c r="K474" s="196">
        <v>6200</v>
      </c>
      <c r="L474" s="196">
        <v>6200</v>
      </c>
      <c r="M474" s="511">
        <f t="shared" si="68"/>
        <v>0</v>
      </c>
    </row>
    <row r="475" spans="1:13" ht="12.75">
      <c r="A475" s="137" t="s">
        <v>40</v>
      </c>
      <c r="B475" s="33"/>
      <c r="C475" s="17">
        <v>487300</v>
      </c>
      <c r="D475" s="30" t="s">
        <v>442</v>
      </c>
      <c r="E475" s="196">
        <v>500</v>
      </c>
      <c r="F475" s="196">
        <f t="shared" si="67"/>
        <v>800</v>
      </c>
      <c r="G475" s="196">
        <v>1300</v>
      </c>
      <c r="H475" s="317">
        <f t="shared" si="65"/>
        <v>260</v>
      </c>
      <c r="I475" s="318">
        <f t="shared" si="66"/>
        <v>0.005605603775486255</v>
      </c>
      <c r="K475" s="196">
        <v>1300</v>
      </c>
      <c r="L475" s="196">
        <v>1300</v>
      </c>
      <c r="M475" s="511">
        <f t="shared" si="68"/>
        <v>0</v>
      </c>
    </row>
    <row r="476" spans="1:13" ht="14.25" customHeight="1">
      <c r="A476" s="137" t="s">
        <v>40</v>
      </c>
      <c r="B476" s="33"/>
      <c r="C476" s="17">
        <v>487400</v>
      </c>
      <c r="D476" s="30" t="s">
        <v>412</v>
      </c>
      <c r="E476" s="196">
        <v>2000</v>
      </c>
      <c r="F476" s="196">
        <f t="shared" si="67"/>
        <v>0</v>
      </c>
      <c r="G476" s="196">
        <v>2000</v>
      </c>
      <c r="H476" s="317">
        <f t="shared" si="65"/>
        <v>100</v>
      </c>
      <c r="I476" s="318">
        <f t="shared" si="66"/>
        <v>0.008624005808440392</v>
      </c>
      <c r="K476" s="196">
        <v>2000</v>
      </c>
      <c r="L476" s="196">
        <v>2000</v>
      </c>
      <c r="M476" s="511">
        <f t="shared" si="68"/>
        <v>0</v>
      </c>
    </row>
    <row r="477" spans="1:13" ht="12.75">
      <c r="A477" s="137"/>
      <c r="B477" s="33"/>
      <c r="C477" s="17"/>
      <c r="D477" s="32" t="s">
        <v>425</v>
      </c>
      <c r="E477" s="320">
        <f>SUM(E478)</f>
        <v>3200</v>
      </c>
      <c r="F477" s="320">
        <f>SUM(F478)</f>
        <v>0</v>
      </c>
      <c r="G477" s="320">
        <f>SUM(G478)</f>
        <v>3200</v>
      </c>
      <c r="H477" s="320">
        <f t="shared" si="65"/>
        <v>100</v>
      </c>
      <c r="I477" s="319">
        <f t="shared" si="66"/>
        <v>0.013798409293504628</v>
      </c>
      <c r="K477" s="320">
        <f>SUM(K478)</f>
        <v>3200</v>
      </c>
      <c r="L477" s="320">
        <f>SUM(L478)</f>
        <v>3200</v>
      </c>
      <c r="M477" s="511">
        <f t="shared" si="68"/>
        <v>0</v>
      </c>
    </row>
    <row r="478" spans="1:13" ht="26.25" customHeight="1">
      <c r="A478" s="137" t="s">
        <v>40</v>
      </c>
      <c r="B478" s="33"/>
      <c r="C478" s="17">
        <v>487900</v>
      </c>
      <c r="D478" s="30" t="s">
        <v>510</v>
      </c>
      <c r="E478" s="196">
        <v>3200</v>
      </c>
      <c r="F478" s="196">
        <f t="shared" si="67"/>
        <v>0</v>
      </c>
      <c r="G478" s="196">
        <v>3200</v>
      </c>
      <c r="H478" s="207">
        <f t="shared" si="65"/>
        <v>100</v>
      </c>
      <c r="I478" s="318">
        <f t="shared" si="66"/>
        <v>0.013798409293504628</v>
      </c>
      <c r="K478" s="196">
        <v>3200</v>
      </c>
      <c r="L478" s="196">
        <v>3200</v>
      </c>
      <c r="M478" s="511">
        <f t="shared" si="68"/>
        <v>0</v>
      </c>
    </row>
    <row r="479" spans="1:13" ht="13.5" customHeight="1">
      <c r="A479" s="137"/>
      <c r="B479" s="64">
        <v>621000</v>
      </c>
      <c r="C479" s="17"/>
      <c r="D479" s="32" t="s">
        <v>164</v>
      </c>
      <c r="E479" s="65">
        <f>E480+E488</f>
        <v>6793227.9799999995</v>
      </c>
      <c r="F479" s="65">
        <f>F480+F488</f>
        <v>-41496.98000000004</v>
      </c>
      <c r="G479" s="65">
        <f>G480+G488</f>
        <v>6751731</v>
      </c>
      <c r="H479" s="187">
        <f t="shared" si="65"/>
        <v>99.38914194956844</v>
      </c>
      <c r="I479" s="315">
        <f t="shared" si="66"/>
        <v>29.11348368051353</v>
      </c>
      <c r="K479" s="65">
        <f>K480+K488</f>
        <v>6716727.9799999995</v>
      </c>
      <c r="L479" s="65">
        <f>L480+L488</f>
        <v>6753727.9799999995</v>
      </c>
      <c r="M479" s="511">
        <f t="shared" si="68"/>
        <v>-1996.9799999995157</v>
      </c>
    </row>
    <row r="480" spans="1:13" ht="16.5" customHeight="1">
      <c r="A480" s="137"/>
      <c r="B480" s="64"/>
      <c r="C480" s="17"/>
      <c r="D480" s="32" t="s">
        <v>172</v>
      </c>
      <c r="E480" s="320">
        <f>SUM(E481:E487)</f>
        <v>6768227.9799999995</v>
      </c>
      <c r="F480" s="320">
        <f>SUM(F481:F487)</f>
        <v>-41496.98000000004</v>
      </c>
      <c r="G480" s="320">
        <f>SUM(G481:G487)</f>
        <v>6726731</v>
      </c>
      <c r="H480" s="320">
        <f t="shared" si="65"/>
        <v>99.38688560546981</v>
      </c>
      <c r="I480" s="319">
        <f t="shared" si="66"/>
        <v>29.005683607908022</v>
      </c>
      <c r="K480" s="320">
        <f>SUM(K481:K487)</f>
        <v>6716727.9799999995</v>
      </c>
      <c r="L480" s="320">
        <f>SUM(L481:L487)</f>
        <v>6746227.9799999995</v>
      </c>
      <c r="M480" s="511">
        <f t="shared" si="68"/>
        <v>-19496.979999999516</v>
      </c>
    </row>
    <row r="481" spans="1:13" ht="14.25" customHeight="1">
      <c r="A481" s="137"/>
      <c r="B481" s="64"/>
      <c r="C481" s="17">
        <v>621300</v>
      </c>
      <c r="D481" s="30" t="s">
        <v>443</v>
      </c>
      <c r="E481" s="207">
        <v>565000</v>
      </c>
      <c r="F481" s="207">
        <f t="shared" si="67"/>
        <v>0</v>
      </c>
      <c r="G481" s="207">
        <v>565000</v>
      </c>
      <c r="H481" s="207">
        <f t="shared" si="65"/>
        <v>100</v>
      </c>
      <c r="I481" s="318">
        <f t="shared" si="66"/>
        <v>2.4362816408844106</v>
      </c>
      <c r="K481" s="207">
        <v>565000</v>
      </c>
      <c r="L481" s="207">
        <v>565000</v>
      </c>
      <c r="M481" s="511">
        <f t="shared" si="68"/>
        <v>0</v>
      </c>
    </row>
    <row r="482" spans="1:13" ht="14.25" customHeight="1">
      <c r="A482" s="137"/>
      <c r="B482" s="64"/>
      <c r="C482" s="17">
        <v>621300</v>
      </c>
      <c r="D482" s="30" t="s">
        <v>444</v>
      </c>
      <c r="E482" s="270">
        <v>2041235.09</v>
      </c>
      <c r="F482" s="270">
        <f t="shared" si="67"/>
        <v>0.909999999916181</v>
      </c>
      <c r="G482" s="270">
        <v>2041236</v>
      </c>
      <c r="H482" s="207">
        <f t="shared" si="65"/>
        <v>100.00004458085228</v>
      </c>
      <c r="I482" s="318">
        <f t="shared" si="66"/>
        <v>8.801815560198815</v>
      </c>
      <c r="K482" s="270">
        <v>2041235.09</v>
      </c>
      <c r="L482" s="270">
        <v>2041235.09</v>
      </c>
      <c r="M482" s="511">
        <f t="shared" si="68"/>
        <v>0.909999999916181</v>
      </c>
    </row>
    <row r="483" spans="1:13" ht="12.75">
      <c r="A483" s="137"/>
      <c r="B483" s="33"/>
      <c r="C483" s="38">
        <v>621300</v>
      </c>
      <c r="D483" s="34" t="s">
        <v>135</v>
      </c>
      <c r="E483" s="184">
        <v>1117978.76</v>
      </c>
      <c r="F483" s="184">
        <f t="shared" si="67"/>
        <v>0.23999999999068677</v>
      </c>
      <c r="G483" s="184">
        <v>1117979</v>
      </c>
      <c r="H483" s="207">
        <f t="shared" si="65"/>
        <v>100.00002146731303</v>
      </c>
      <c r="I483" s="318">
        <f t="shared" si="66"/>
        <v>4.82072869485719</v>
      </c>
      <c r="K483" s="184">
        <v>1117978.76</v>
      </c>
      <c r="L483" s="184">
        <v>1117978.76</v>
      </c>
      <c r="M483" s="511">
        <f t="shared" si="68"/>
        <v>0.23999999999068677</v>
      </c>
    </row>
    <row r="484" spans="1:13" ht="12.75">
      <c r="A484" s="137"/>
      <c r="B484" s="33"/>
      <c r="C484" s="38">
        <v>621300</v>
      </c>
      <c r="D484" s="34" t="s">
        <v>136</v>
      </c>
      <c r="E484" s="184">
        <v>191209.11</v>
      </c>
      <c r="F484" s="184">
        <f t="shared" si="67"/>
        <v>0.8900000000139698</v>
      </c>
      <c r="G484" s="184">
        <v>191210</v>
      </c>
      <c r="H484" s="207">
        <f t="shared" si="65"/>
        <v>100.00046545899409</v>
      </c>
      <c r="I484" s="318">
        <f t="shared" si="66"/>
        <v>0.8244980753159437</v>
      </c>
      <c r="K484" s="184">
        <v>191209.11</v>
      </c>
      <c r="L484" s="184">
        <v>191209.11</v>
      </c>
      <c r="M484" s="511">
        <f t="shared" si="68"/>
        <v>0.8900000000139698</v>
      </c>
    </row>
    <row r="485" spans="1:13" ht="12.75">
      <c r="A485" s="137"/>
      <c r="B485" s="76"/>
      <c r="C485" s="38">
        <v>621300</v>
      </c>
      <c r="D485" s="34" t="s">
        <v>281</v>
      </c>
      <c r="E485" s="184">
        <v>1907339.98</v>
      </c>
      <c r="F485" s="184">
        <f t="shared" si="67"/>
        <v>0.02000000001862645</v>
      </c>
      <c r="G485" s="184">
        <v>1907340</v>
      </c>
      <c r="H485" s="207">
        <f t="shared" si="65"/>
        <v>100.00000104858076</v>
      </c>
      <c r="I485" s="318">
        <f t="shared" si="66"/>
        <v>8.224455619335348</v>
      </c>
      <c r="K485" s="184">
        <v>1907339.98</v>
      </c>
      <c r="L485" s="184">
        <v>1907339.98</v>
      </c>
      <c r="M485" s="511">
        <f t="shared" si="68"/>
        <v>0.02000000001862645</v>
      </c>
    </row>
    <row r="486" spans="1:13" ht="15" customHeight="1">
      <c r="A486" s="137"/>
      <c r="B486" s="76"/>
      <c r="C486" s="38">
        <v>621300</v>
      </c>
      <c r="D486" s="34" t="s">
        <v>377</v>
      </c>
      <c r="E486" s="184">
        <v>275465.04</v>
      </c>
      <c r="F486" s="184">
        <f t="shared" si="67"/>
        <v>0.9600000000209548</v>
      </c>
      <c r="G486" s="184">
        <v>275466</v>
      </c>
      <c r="H486" s="207">
        <f t="shared" si="65"/>
        <v>100.00034850157394</v>
      </c>
      <c r="I486" s="318">
        <f t="shared" si="66"/>
        <v>1.1878101920139206</v>
      </c>
      <c r="K486" s="184">
        <v>275465.04</v>
      </c>
      <c r="L486" s="184">
        <v>275465.04</v>
      </c>
      <c r="M486" s="511">
        <f t="shared" si="68"/>
        <v>0.9600000000209548</v>
      </c>
    </row>
    <row r="487" spans="1:13" ht="15" customHeight="1">
      <c r="A487" s="137"/>
      <c r="B487" s="76"/>
      <c r="C487" s="38">
        <v>621300</v>
      </c>
      <c r="D487" s="34" t="s">
        <v>474</v>
      </c>
      <c r="E487" s="184">
        <v>670000</v>
      </c>
      <c r="F487" s="184">
        <f t="shared" si="67"/>
        <v>-41500</v>
      </c>
      <c r="G487" s="270">
        <v>628500</v>
      </c>
      <c r="H487" s="207">
        <f t="shared" si="65"/>
        <v>93.80597014925374</v>
      </c>
      <c r="I487" s="318">
        <f t="shared" si="66"/>
        <v>2.710093825302393</v>
      </c>
      <c r="K487" s="184">
        <v>618500</v>
      </c>
      <c r="L487" s="184">
        <v>648000</v>
      </c>
      <c r="M487" s="511">
        <f t="shared" si="68"/>
        <v>-19500</v>
      </c>
    </row>
    <row r="488" spans="1:13" ht="12.75">
      <c r="A488" s="137"/>
      <c r="B488" s="76"/>
      <c r="C488" s="38"/>
      <c r="D488" s="46" t="s">
        <v>358</v>
      </c>
      <c r="E488" s="463">
        <f>E489</f>
        <v>25000</v>
      </c>
      <c r="F488" s="463">
        <f>F489</f>
        <v>0</v>
      </c>
      <c r="G488" s="463">
        <f>G489</f>
        <v>25000</v>
      </c>
      <c r="H488" s="320">
        <f t="shared" si="65"/>
        <v>100</v>
      </c>
      <c r="I488" s="319">
        <f t="shared" si="66"/>
        <v>0.10780007260550489</v>
      </c>
      <c r="K488" s="463">
        <f>K489</f>
        <v>0</v>
      </c>
      <c r="L488" s="463">
        <f>L489</f>
        <v>7500</v>
      </c>
      <c r="M488" s="511">
        <f t="shared" si="68"/>
        <v>17500</v>
      </c>
    </row>
    <row r="489" spans="1:13" ht="15" customHeight="1">
      <c r="A489" s="137"/>
      <c r="B489" s="76"/>
      <c r="C489" s="38">
        <v>621900</v>
      </c>
      <c r="D489" s="34" t="s">
        <v>375</v>
      </c>
      <c r="E489" s="184">
        <v>25000</v>
      </c>
      <c r="F489" s="184">
        <f t="shared" si="67"/>
        <v>0</v>
      </c>
      <c r="G489" s="270">
        <v>25000</v>
      </c>
      <c r="H489" s="207">
        <f t="shared" si="65"/>
        <v>100</v>
      </c>
      <c r="I489" s="318">
        <f t="shared" si="66"/>
        <v>0.10780007260550489</v>
      </c>
      <c r="K489" s="184">
        <v>0</v>
      </c>
      <c r="L489" s="184">
        <v>7500</v>
      </c>
      <c r="M489" s="511">
        <f t="shared" si="68"/>
        <v>17500</v>
      </c>
    </row>
    <row r="490" spans="1:13" ht="24">
      <c r="A490" s="137"/>
      <c r="B490" s="76">
        <v>628000</v>
      </c>
      <c r="C490" s="38"/>
      <c r="D490" s="46" t="s">
        <v>513</v>
      </c>
      <c r="E490" s="65">
        <f aca="true" t="shared" si="70" ref="E490:G491">SUM(E491)</f>
        <v>88500</v>
      </c>
      <c r="F490" s="65">
        <f t="shared" si="70"/>
        <v>0</v>
      </c>
      <c r="G490" s="65">
        <f t="shared" si="70"/>
        <v>88500</v>
      </c>
      <c r="H490" s="187">
        <f t="shared" si="65"/>
        <v>100</v>
      </c>
      <c r="I490" s="315">
        <f t="shared" si="66"/>
        <v>0.38161225702348733</v>
      </c>
      <c r="K490" s="65">
        <f>SUM(K491)</f>
        <v>88500</v>
      </c>
      <c r="L490" s="65">
        <f>SUM(L491)</f>
        <v>88500</v>
      </c>
      <c r="M490" s="511">
        <f t="shared" si="68"/>
        <v>0</v>
      </c>
    </row>
    <row r="491" spans="1:13" ht="24">
      <c r="A491" s="137"/>
      <c r="B491" s="76"/>
      <c r="C491" s="38"/>
      <c r="D491" s="46" t="s">
        <v>514</v>
      </c>
      <c r="E491" s="320">
        <f t="shared" si="70"/>
        <v>88500</v>
      </c>
      <c r="F491" s="320">
        <f t="shared" si="70"/>
        <v>0</v>
      </c>
      <c r="G491" s="320">
        <f t="shared" si="70"/>
        <v>88500</v>
      </c>
      <c r="H491" s="320">
        <f t="shared" si="65"/>
        <v>100</v>
      </c>
      <c r="I491" s="319">
        <f t="shared" si="66"/>
        <v>0.38161225702348733</v>
      </c>
      <c r="K491" s="320">
        <f>SUM(K492)</f>
        <v>88500</v>
      </c>
      <c r="L491" s="320">
        <f>SUM(L492)</f>
        <v>88500</v>
      </c>
      <c r="M491" s="511">
        <f t="shared" si="68"/>
        <v>0</v>
      </c>
    </row>
    <row r="492" spans="1:13" ht="12.75">
      <c r="A492" s="137"/>
      <c r="B492" s="76"/>
      <c r="C492" s="38">
        <v>628100</v>
      </c>
      <c r="D492" s="34" t="s">
        <v>445</v>
      </c>
      <c r="E492" s="184">
        <v>88500</v>
      </c>
      <c r="F492" s="184">
        <f t="shared" si="67"/>
        <v>0</v>
      </c>
      <c r="G492" s="184">
        <v>88500</v>
      </c>
      <c r="H492" s="207">
        <f t="shared" si="65"/>
        <v>100</v>
      </c>
      <c r="I492" s="318">
        <f t="shared" si="66"/>
        <v>0.38161225702348733</v>
      </c>
      <c r="K492" s="184">
        <v>88500</v>
      </c>
      <c r="L492" s="184">
        <v>88500</v>
      </c>
      <c r="M492" s="511">
        <f t="shared" si="68"/>
        <v>0</v>
      </c>
    </row>
    <row r="493" spans="1:13" ht="12.75">
      <c r="A493" s="137"/>
      <c r="B493" s="64">
        <v>631000</v>
      </c>
      <c r="C493" s="38"/>
      <c r="D493" s="32" t="s">
        <v>399</v>
      </c>
      <c r="E493" s="65">
        <f>SUM(E494:E494)</f>
        <v>3000</v>
      </c>
      <c r="F493" s="65">
        <f>SUM(F494:F494)</f>
        <v>0</v>
      </c>
      <c r="G493" s="65">
        <f>SUM(G494:G494)</f>
        <v>3000</v>
      </c>
      <c r="H493" s="187">
        <f t="shared" si="65"/>
        <v>100</v>
      </c>
      <c r="I493" s="315">
        <f t="shared" si="66"/>
        <v>0.012936008712660589</v>
      </c>
      <c r="K493" s="65">
        <f>SUM(K494:K494)</f>
        <v>3000</v>
      </c>
      <c r="L493" s="65">
        <f>SUM(L494:L494)</f>
        <v>3000</v>
      </c>
      <c r="M493" s="511">
        <f t="shared" si="68"/>
        <v>0</v>
      </c>
    </row>
    <row r="494" spans="1:13" ht="24">
      <c r="A494" s="137"/>
      <c r="B494" s="64"/>
      <c r="C494" s="38">
        <v>631900</v>
      </c>
      <c r="D494" s="30" t="s">
        <v>461</v>
      </c>
      <c r="E494" s="207">
        <v>3000</v>
      </c>
      <c r="F494" s="207">
        <f t="shared" si="67"/>
        <v>0</v>
      </c>
      <c r="G494" s="207">
        <v>3000</v>
      </c>
      <c r="H494" s="207">
        <f t="shared" si="65"/>
        <v>100</v>
      </c>
      <c r="I494" s="318">
        <f t="shared" si="66"/>
        <v>0.012936008712660589</v>
      </c>
      <c r="K494" s="207">
        <v>3000</v>
      </c>
      <c r="L494" s="207">
        <v>3000</v>
      </c>
      <c r="M494" s="511">
        <f t="shared" si="68"/>
        <v>0</v>
      </c>
    </row>
    <row r="495" spans="1:13" ht="16.5" customHeight="1">
      <c r="A495" s="137"/>
      <c r="B495" s="76">
        <v>638000</v>
      </c>
      <c r="C495" s="38"/>
      <c r="D495" s="46" t="s">
        <v>446</v>
      </c>
      <c r="E495" s="65">
        <f>E496</f>
        <v>1000</v>
      </c>
      <c r="F495" s="65">
        <f>F496</f>
        <v>2000</v>
      </c>
      <c r="G495" s="65">
        <f>G496</f>
        <v>3000</v>
      </c>
      <c r="H495" s="187">
        <f t="shared" si="65"/>
        <v>300</v>
      </c>
      <c r="I495" s="315">
        <f t="shared" si="66"/>
        <v>0.012936008712660589</v>
      </c>
      <c r="K495" s="65">
        <f>K496</f>
        <v>3000</v>
      </c>
      <c r="L495" s="65">
        <f>L496</f>
        <v>3000</v>
      </c>
      <c r="M495" s="511">
        <f t="shared" si="68"/>
        <v>0</v>
      </c>
    </row>
    <row r="496" spans="1:13" ht="24.75" customHeight="1">
      <c r="A496" s="137"/>
      <c r="B496" s="76"/>
      <c r="C496" s="38">
        <v>638100</v>
      </c>
      <c r="D496" s="34" t="s">
        <v>460</v>
      </c>
      <c r="E496" s="184">
        <v>1000</v>
      </c>
      <c r="F496" s="184">
        <f t="shared" si="67"/>
        <v>2000</v>
      </c>
      <c r="G496" s="184">
        <v>3000</v>
      </c>
      <c r="H496" s="207">
        <f t="shared" si="65"/>
        <v>300</v>
      </c>
      <c r="I496" s="318">
        <f t="shared" si="66"/>
        <v>0.012936008712660589</v>
      </c>
      <c r="K496" s="184">
        <v>3000</v>
      </c>
      <c r="L496" s="184">
        <v>3000</v>
      </c>
      <c r="M496" s="511">
        <f t="shared" si="68"/>
        <v>0</v>
      </c>
    </row>
    <row r="497" spans="1:13" ht="27.75" customHeight="1">
      <c r="A497" s="580"/>
      <c r="B497" s="581"/>
      <c r="C497" s="550" t="s">
        <v>237</v>
      </c>
      <c r="D497" s="550"/>
      <c r="E497" s="71">
        <f>E455+E457+E469+E472+E479+E490+E493+E495</f>
        <v>7189427.9799999995</v>
      </c>
      <c r="F497" s="71">
        <f>F455+F457+F469+F472+F479+F490+F493+F495</f>
        <v>-74724.98000000004</v>
      </c>
      <c r="G497" s="71">
        <f>G455+G457+G469+G472+G479+G490+G493+G495</f>
        <v>7114703</v>
      </c>
      <c r="H497" s="323">
        <f t="shared" si="65"/>
        <v>98.96062690650948</v>
      </c>
      <c r="I497" s="325">
        <f t="shared" si="66"/>
        <v>30.678619998664143</v>
      </c>
      <c r="K497" s="71">
        <f>K455+K457+K469+K472+K479+K490+K493+K495</f>
        <v>7079698.84</v>
      </c>
      <c r="L497" s="71">
        <f>L455+L457+L469+L472+L479+L490+L493+L495</f>
        <v>7131527.9799999995</v>
      </c>
      <c r="M497" s="511">
        <f t="shared" si="68"/>
        <v>-16824.979999999516</v>
      </c>
    </row>
    <row r="498" spans="1:13" ht="19.5" customHeight="1">
      <c r="A498" s="548"/>
      <c r="B498" s="549"/>
      <c r="C498" s="560" t="s">
        <v>200</v>
      </c>
      <c r="D498" s="564"/>
      <c r="E498" s="179"/>
      <c r="F498" s="179"/>
      <c r="G498" s="179"/>
      <c r="H498" s="179"/>
      <c r="I498" s="379"/>
      <c r="K498" s="179"/>
      <c r="L498" s="179"/>
      <c r="M498" s="511">
        <f t="shared" si="68"/>
        <v>0</v>
      </c>
    </row>
    <row r="499" spans="1:13" ht="8.25" customHeight="1">
      <c r="A499" s="548"/>
      <c r="B499" s="549"/>
      <c r="C499" s="565"/>
      <c r="D499" s="564"/>
      <c r="E499" s="180"/>
      <c r="F499" s="180"/>
      <c r="G499" s="180"/>
      <c r="H499" s="180"/>
      <c r="I499" s="380"/>
      <c r="K499" s="180"/>
      <c r="L499" s="180"/>
      <c r="M499" s="511">
        <f t="shared" si="68"/>
        <v>0</v>
      </c>
    </row>
    <row r="500" spans="1:13" ht="12.75" customHeight="1">
      <c r="A500" s="548"/>
      <c r="B500" s="549"/>
      <c r="C500" s="106" t="s">
        <v>218</v>
      </c>
      <c r="D500" s="523" t="s">
        <v>103</v>
      </c>
      <c r="E500" s="361">
        <v>160000</v>
      </c>
      <c r="F500" s="361">
        <f>G500-E500</f>
        <v>-140000</v>
      </c>
      <c r="G500" s="522">
        <v>20000</v>
      </c>
      <c r="H500" s="360">
        <f>IF(E500&gt;0,G500/E500*100,0)</f>
        <v>12.5</v>
      </c>
      <c r="I500" s="362">
        <f>G500/$G$502*100</f>
        <v>0.08624005808440392</v>
      </c>
      <c r="K500" s="361">
        <v>0</v>
      </c>
      <c r="L500" s="361">
        <v>721.29</v>
      </c>
      <c r="M500" s="511">
        <f t="shared" si="68"/>
        <v>19278.71</v>
      </c>
    </row>
    <row r="501" spans="1:13" ht="25.5" customHeight="1">
      <c r="A501" s="548"/>
      <c r="B501" s="549"/>
      <c r="C501" s="550" t="s">
        <v>201</v>
      </c>
      <c r="D501" s="551"/>
      <c r="E501" s="71">
        <f>E500</f>
        <v>160000</v>
      </c>
      <c r="F501" s="71">
        <f>F500</f>
        <v>-140000</v>
      </c>
      <c r="G501" s="71">
        <f>G500</f>
        <v>20000</v>
      </c>
      <c r="H501" s="328">
        <f>IF(E501&gt;0,G501/E501*100,0)</f>
        <v>12.5</v>
      </c>
      <c r="I501" s="325">
        <f>G501/$G$502*100</f>
        <v>0.08624005808440392</v>
      </c>
      <c r="K501" s="71">
        <f>K500</f>
        <v>0</v>
      </c>
      <c r="L501" s="71">
        <f>L500</f>
        <v>721.29</v>
      </c>
      <c r="M501" s="511">
        <f t="shared" si="68"/>
        <v>19278.71</v>
      </c>
    </row>
    <row r="502" spans="1:13" s="10" customFormat="1" ht="24" customHeight="1" thickBot="1">
      <c r="A502" s="578" t="s">
        <v>228</v>
      </c>
      <c r="B502" s="579"/>
      <c r="C502" s="576" t="s">
        <v>238</v>
      </c>
      <c r="D502" s="577"/>
      <c r="E502" s="73">
        <f>E20+E39++E52+E65+E82+E134+E143+E190+E227+E237+E260+E279++E298+E336+E356+E379+E391+E416+E442+E452+E497+E501</f>
        <v>21234381.849999998</v>
      </c>
      <c r="F502" s="73">
        <f>F20+F39++F52+F65+F82+F134+F143+F190+F227+F237+F260+F279++F298+F336+F356+F379+F391+F416+F442+F452+F497+F501</f>
        <v>1956697.15</v>
      </c>
      <c r="G502" s="73">
        <f>G20+G39++G52+G65+G82+G134+G143+G190+G227+G237+G260+G279++G298+G336+G356+G379+G391+G416+G442+G452+G497+G501</f>
        <v>23191079</v>
      </c>
      <c r="H502" s="326">
        <f>IF(E502&gt;0,G502/E502*100,0)</f>
        <v>109.21475917604826</v>
      </c>
      <c r="I502" s="327">
        <f>G502/$G$502*100</f>
        <v>100</v>
      </c>
      <c r="J502" s="392"/>
      <c r="K502" s="73">
        <f>K20+K39++K52+K65+K82+K134+K143+K190+K227+K237+K260+K279++K298+K336+K356+K379+K391+K416+K442+K452+K497+K501</f>
        <v>23171451.14</v>
      </c>
      <c r="L502" s="73">
        <f>L20+L39++L52+L65+L82+L134+L143+L190+L227+L237+L260+L279++L298+L336+L356+L379+L391+L416+L442+L452+L497+L501</f>
        <v>22860628.23</v>
      </c>
      <c r="M502" s="511">
        <f t="shared" si="68"/>
        <v>330450.76999999955</v>
      </c>
    </row>
    <row r="503" spans="1:11" s="10" customFormat="1" ht="24" customHeight="1" thickTop="1">
      <c r="A503" s="253"/>
      <c r="B503" s="253"/>
      <c r="C503" s="261"/>
      <c r="D503" s="261"/>
      <c r="E503" s="262"/>
      <c r="F503" s="262"/>
      <c r="G503" s="262"/>
      <c r="H503" s="262"/>
      <c r="I503" s="263"/>
      <c r="J503" s="392"/>
      <c r="K503" s="392"/>
    </row>
    <row r="504" spans="4:13" ht="12.75">
      <c r="D504" s="205"/>
      <c r="E504" s="74"/>
      <c r="F504" s="524"/>
      <c r="G504" s="524"/>
      <c r="H504" s="74"/>
      <c r="I504" s="225"/>
      <c r="K504" s="262"/>
      <c r="L504" s="511"/>
      <c r="M504" s="511"/>
    </row>
    <row r="505" spans="4:15" ht="12.75">
      <c r="D505" s="205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</row>
    <row r="506" spans="1:13" ht="12.75">
      <c r="A506" s="590"/>
      <c r="B506" s="590"/>
      <c r="C506" s="590"/>
      <c r="D506" s="590"/>
      <c r="E506" s="268"/>
      <c r="F506" s="268"/>
      <c r="G506" s="268"/>
      <c r="H506" s="268"/>
      <c r="I506" s="225"/>
      <c r="L506" s="511"/>
      <c r="M506" s="511"/>
    </row>
    <row r="507" spans="1:11" ht="12.75">
      <c r="A507" s="223"/>
      <c r="B507" s="60"/>
      <c r="C507" s="60"/>
      <c r="D507" s="226"/>
      <c r="E507" s="224"/>
      <c r="F507" s="224"/>
      <c r="G507" s="224"/>
      <c r="H507" s="224"/>
      <c r="I507" s="225"/>
      <c r="K507" s="395" t="s">
        <v>594</v>
      </c>
    </row>
    <row r="508" spans="1:13" ht="12.75">
      <c r="A508" s="223"/>
      <c r="B508" s="60"/>
      <c r="C508" s="60"/>
      <c r="D508" s="226"/>
      <c r="E508" s="272"/>
      <c r="F508" s="272"/>
      <c r="G508" s="272"/>
      <c r="H508" s="272"/>
      <c r="I508" s="225"/>
      <c r="L508" s="511"/>
      <c r="M508" s="511"/>
    </row>
    <row r="509" spans="1:9" ht="12.75">
      <c r="A509" s="223"/>
      <c r="B509" s="60"/>
      <c r="C509" s="60"/>
      <c r="D509" s="226"/>
      <c r="E509" s="224"/>
      <c r="F509" s="224"/>
      <c r="G509" s="224"/>
      <c r="H509" s="224"/>
      <c r="I509" s="225"/>
    </row>
    <row r="510" spans="1:9" ht="12.75">
      <c r="A510" s="236"/>
      <c r="B510" s="237"/>
      <c r="C510" s="237"/>
      <c r="D510" s="236"/>
      <c r="E510" s="237"/>
      <c r="F510" s="237"/>
      <c r="G510" s="518"/>
      <c r="H510" s="237"/>
      <c r="I510" s="237"/>
    </row>
    <row r="511" spans="1:11" s="11" customFormat="1" ht="15.75" customHeight="1">
      <c r="A511" s="50"/>
      <c r="B511" s="50"/>
      <c r="C511" s="50"/>
      <c r="D511" s="238"/>
      <c r="E511" s="227"/>
      <c r="F511" s="227"/>
      <c r="G511" s="227"/>
      <c r="H511" s="227"/>
      <c r="I511" s="228"/>
      <c r="J511" s="393"/>
      <c r="K511" s="396"/>
    </row>
    <row r="512" spans="1:11" s="11" customFormat="1" ht="12.75">
      <c r="A512" s="229"/>
      <c r="B512" s="228"/>
      <c r="C512" s="228"/>
      <c r="D512" s="238"/>
      <c r="E512" s="230"/>
      <c r="F512" s="230"/>
      <c r="G512" s="230"/>
      <c r="H512" s="230"/>
      <c r="I512" s="228"/>
      <c r="J512" s="393"/>
      <c r="K512" s="396"/>
    </row>
    <row r="513" spans="1:9" ht="12.75">
      <c r="A513" s="223"/>
      <c r="B513" s="60"/>
      <c r="C513" s="60"/>
      <c r="D513" s="226"/>
      <c r="E513" s="230"/>
      <c r="F513" s="230"/>
      <c r="G513" s="230"/>
      <c r="H513" s="230"/>
      <c r="I513" s="60"/>
    </row>
    <row r="514" spans="1:9" ht="23.25" customHeight="1">
      <c r="A514" s="223"/>
      <c r="B514" s="60"/>
      <c r="C514" s="60"/>
      <c r="D514" s="226"/>
      <c r="E514" s="230"/>
      <c r="F514" s="230"/>
      <c r="G514" s="230"/>
      <c r="H514" s="230"/>
      <c r="I514" s="60"/>
    </row>
    <row r="515" spans="1:9" ht="12.75">
      <c r="A515" s="223"/>
      <c r="B515" s="60"/>
      <c r="C515" s="60"/>
      <c r="D515" s="225"/>
      <c r="E515" s="231"/>
      <c r="F515" s="231"/>
      <c r="G515" s="231"/>
      <c r="H515" s="231"/>
      <c r="I515" s="60"/>
    </row>
    <row r="516" spans="1:9" ht="2.25" customHeight="1">
      <c r="A516" s="223"/>
      <c r="B516" s="60"/>
      <c r="C516" s="60"/>
      <c r="D516" s="60"/>
      <c r="E516" s="232"/>
      <c r="F516" s="232"/>
      <c r="G516" s="232"/>
      <c r="H516" s="232"/>
      <c r="I516" s="60"/>
    </row>
    <row r="517" ht="12.75">
      <c r="D517" s="3"/>
    </row>
    <row r="518" ht="12.75">
      <c r="D518" s="205"/>
    </row>
    <row r="519" ht="12.75">
      <c r="D519" s="205"/>
    </row>
    <row r="520" ht="12.75">
      <c r="A520" s="6"/>
    </row>
    <row r="521" spans="1:4" ht="12.75">
      <c r="A521" s="6"/>
      <c r="D521" s="205"/>
    </row>
    <row r="522" ht="12.75">
      <c r="A522" s="6"/>
    </row>
    <row r="523" ht="12.75">
      <c r="A523" s="6"/>
    </row>
    <row r="524" ht="2.25" customHeight="1">
      <c r="A524" s="6"/>
    </row>
    <row r="525" ht="12.75" hidden="1">
      <c r="A525" s="6"/>
    </row>
    <row r="526" ht="12.75" hidden="1">
      <c r="A526" s="6"/>
    </row>
    <row r="527" ht="12.75" hidden="1"/>
    <row r="528" ht="10.5" customHeight="1" hidden="1"/>
    <row r="529" ht="12.75" hidden="1"/>
    <row r="530" ht="12.75" hidden="1"/>
    <row r="531" ht="12.75" hidden="1"/>
    <row r="538" spans="1:11" s="13" customFormat="1" ht="15.75" customHeight="1">
      <c r="A538" s="9"/>
      <c r="E538" s="58"/>
      <c r="F538" s="58"/>
      <c r="G538" s="58"/>
      <c r="H538" s="58"/>
      <c r="I538" s="52"/>
      <c r="J538" s="394"/>
      <c r="K538" s="397"/>
    </row>
    <row r="548" spans="1:11" s="13" customFormat="1" ht="15.75" customHeight="1">
      <c r="A548" s="9"/>
      <c r="E548" s="58"/>
      <c r="F548" s="58"/>
      <c r="G548" s="58"/>
      <c r="H548" s="58"/>
      <c r="I548" s="52"/>
      <c r="J548" s="394"/>
      <c r="K548" s="397"/>
    </row>
    <row r="551" spans="1:11" s="13" customFormat="1" ht="15.75" customHeight="1">
      <c r="A551" s="9"/>
      <c r="E551" s="58"/>
      <c r="F551" s="58"/>
      <c r="G551" s="58"/>
      <c r="H551" s="58"/>
      <c r="I551" s="52"/>
      <c r="J551" s="394"/>
      <c r="K551" s="397"/>
    </row>
    <row r="556" ht="15.75" customHeight="1">
      <c r="A556" s="6"/>
    </row>
    <row r="557" spans="1:3" ht="12.75">
      <c r="A557" s="6"/>
      <c r="C557" s="12"/>
    </row>
    <row r="558" spans="1:3" ht="12.75">
      <c r="A558" s="6"/>
      <c r="C558" s="12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spans="1:4" ht="12.75">
      <c r="A573" s="6"/>
      <c r="D573" s="8"/>
    </row>
    <row r="574" spans="1:8" ht="12.75">
      <c r="A574" s="6"/>
      <c r="D574" s="14"/>
      <c r="E574" s="57"/>
      <c r="F574" s="57"/>
      <c r="G574" s="57"/>
      <c r="H574" s="57"/>
    </row>
    <row r="575" spans="1:8" ht="12.75">
      <c r="A575" s="6"/>
      <c r="D575" s="14"/>
      <c r="E575" s="57"/>
      <c r="F575" s="57"/>
      <c r="G575" s="57"/>
      <c r="H575" s="57"/>
    </row>
    <row r="576" spans="1:4" ht="12.75">
      <c r="A576" s="6"/>
      <c r="D576" s="8"/>
    </row>
    <row r="577" spans="1:4" ht="12.75">
      <c r="A577" s="6"/>
      <c r="D577" s="8"/>
    </row>
    <row r="578" spans="1:4" ht="12.75">
      <c r="A578" s="6"/>
      <c r="D578" s="8"/>
    </row>
    <row r="579" spans="1:4" ht="12.75">
      <c r="A579" s="6"/>
      <c r="D579" s="8"/>
    </row>
    <row r="580" spans="1:4" ht="12.75">
      <c r="A580" s="6"/>
      <c r="D580" s="8"/>
    </row>
    <row r="581" spans="1:4" ht="12.75">
      <c r="A581" s="6"/>
      <c r="D581" s="8"/>
    </row>
    <row r="582" spans="1:4" ht="12.75">
      <c r="A582" s="6"/>
      <c r="D582" s="8"/>
    </row>
    <row r="583" spans="1:4" ht="12.75">
      <c r="A583" s="6"/>
      <c r="D583" s="8"/>
    </row>
    <row r="584" spans="1:4" ht="12.75">
      <c r="A584" s="6"/>
      <c r="D584" s="8"/>
    </row>
    <row r="585" spans="1:4" ht="12.75">
      <c r="A585" s="6"/>
      <c r="D585" s="8"/>
    </row>
    <row r="586" spans="1:4" ht="12.75">
      <c r="A586" s="6"/>
      <c r="D586" s="8"/>
    </row>
    <row r="587" spans="1:4" ht="12.75">
      <c r="A587" s="6"/>
      <c r="D587" s="8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spans="1:8" ht="12.75">
      <c r="A594" s="6"/>
      <c r="E594" s="57"/>
      <c r="F594" s="57"/>
      <c r="G594" s="57"/>
      <c r="H594" s="57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spans="1:8" ht="12.75">
      <c r="A604" s="6"/>
      <c r="E604" s="57"/>
      <c r="F604" s="57"/>
      <c r="G604" s="57"/>
      <c r="H604" s="57"/>
    </row>
    <row r="605" ht="12.75">
      <c r="A605" s="6"/>
    </row>
    <row r="606" ht="12.75">
      <c r="A606" s="6"/>
    </row>
    <row r="607" ht="12.75">
      <c r="A607" s="6"/>
    </row>
  </sheetData>
  <sheetProtection/>
  <mergeCells count="104">
    <mergeCell ref="A39:B39"/>
    <mergeCell ref="A506:D506"/>
    <mergeCell ref="C337:D339"/>
    <mergeCell ref="C190:D190"/>
    <mergeCell ref="A238:B240"/>
    <mergeCell ref="C298:D298"/>
    <mergeCell ref="C135:D137"/>
    <mergeCell ref="C237:D237"/>
    <mergeCell ref="A227:B227"/>
    <mergeCell ref="A237:B237"/>
    <mergeCell ref="C227:D227"/>
    <mergeCell ref="C228:D230"/>
    <mergeCell ref="A40:B42"/>
    <mergeCell ref="C191:D194"/>
    <mergeCell ref="A190:B190"/>
    <mergeCell ref="C134:D134"/>
    <mergeCell ref="A66:B68"/>
    <mergeCell ref="A143:B143"/>
    <mergeCell ref="A21:B23"/>
    <mergeCell ref="C39:D39"/>
    <mergeCell ref="C53:D55"/>
    <mergeCell ref="A65:B65"/>
    <mergeCell ref="A83:B86"/>
    <mergeCell ref="C143:D143"/>
    <mergeCell ref="C66:D68"/>
    <mergeCell ref="C52:D52"/>
    <mergeCell ref="C65:D65"/>
    <mergeCell ref="C21:D23"/>
    <mergeCell ref="A1:I1"/>
    <mergeCell ref="A2:A3"/>
    <mergeCell ref="B2:C2"/>
    <mergeCell ref="D2:D3"/>
    <mergeCell ref="I2:I3"/>
    <mergeCell ref="G2:G3"/>
    <mergeCell ref="F2:F3"/>
    <mergeCell ref="H2:H3"/>
    <mergeCell ref="C5:D7"/>
    <mergeCell ref="C20:D20"/>
    <mergeCell ref="C144:D147"/>
    <mergeCell ref="A144:B147"/>
    <mergeCell ref="A228:B230"/>
    <mergeCell ref="C82:D82"/>
    <mergeCell ref="C83:D86"/>
    <mergeCell ref="A191:B194"/>
    <mergeCell ref="A5:B7"/>
    <mergeCell ref="A20:B20"/>
    <mergeCell ref="C501:D501"/>
    <mergeCell ref="C498:D499"/>
    <mergeCell ref="A501:B501"/>
    <mergeCell ref="A498:B499"/>
    <mergeCell ref="A453:B454"/>
    <mergeCell ref="A336:B336"/>
    <mergeCell ref="C336:D336"/>
    <mergeCell ref="A500:B500"/>
    <mergeCell ref="A442:B442"/>
    <mergeCell ref="C417:D419"/>
    <mergeCell ref="C502:D502"/>
    <mergeCell ref="A502:B502"/>
    <mergeCell ref="A279:B279"/>
    <mergeCell ref="C260:D260"/>
    <mergeCell ref="A356:B356"/>
    <mergeCell ref="C356:D356"/>
    <mergeCell ref="C299:D301"/>
    <mergeCell ref="A497:B497"/>
    <mergeCell ref="C452:D452"/>
    <mergeCell ref="A452:B452"/>
    <mergeCell ref="C497:D497"/>
    <mergeCell ref="C416:D416"/>
    <mergeCell ref="C453:D454"/>
    <mergeCell ref="A379:B379"/>
    <mergeCell ref="C443:D443"/>
    <mergeCell ref="A443:B443"/>
    <mergeCell ref="C442:D442"/>
    <mergeCell ref="A416:B416"/>
    <mergeCell ref="E380:I381"/>
    <mergeCell ref="C391:D391"/>
    <mergeCell ref="A391:B391"/>
    <mergeCell ref="B380:B381"/>
    <mergeCell ref="A299:B301"/>
    <mergeCell ref="C392:D393"/>
    <mergeCell ref="A380:A381"/>
    <mergeCell ref="C380:D381"/>
    <mergeCell ref="A392:B393"/>
    <mergeCell ref="C357:D358"/>
    <mergeCell ref="A261:B262"/>
    <mergeCell ref="A337:B339"/>
    <mergeCell ref="C280:D282"/>
    <mergeCell ref="C40:D42"/>
    <mergeCell ref="A134:B134"/>
    <mergeCell ref="A82:B82"/>
    <mergeCell ref="C261:D262"/>
    <mergeCell ref="A280:B282"/>
    <mergeCell ref="C279:D279"/>
    <mergeCell ref="C238:D240"/>
    <mergeCell ref="A298:B298"/>
    <mergeCell ref="C379:D379"/>
    <mergeCell ref="A417:B419"/>
    <mergeCell ref="K2:K3"/>
    <mergeCell ref="L2:L3"/>
    <mergeCell ref="A260:B260"/>
    <mergeCell ref="A357:B358"/>
    <mergeCell ref="E2:E3"/>
    <mergeCell ref="A135:B137"/>
    <mergeCell ref="A53:B55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scale="103" r:id="rId1"/>
  <headerFooter alignWithMargins="0">
    <oddFooter>&amp;R&amp;P</oddFooter>
  </headerFooter>
  <rowBreaks count="21" manualBreakCount="21">
    <brk id="39" max="11" man="1"/>
    <brk id="65" max="11" man="1"/>
    <brk id="91" max="10" man="1"/>
    <brk id="117" max="10" man="1"/>
    <brk id="142" max="10" man="1"/>
    <brk id="162" max="10" man="1"/>
    <brk id="182" max="10" man="1"/>
    <brk id="203" max="10" man="1"/>
    <brk id="226" max="10" man="1"/>
    <brk id="252" max="10" man="1"/>
    <brk id="277" max="10" man="1"/>
    <brk id="304" max="10" man="1"/>
    <brk id="332" max="10" man="1"/>
    <brk id="356" max="10" man="1"/>
    <brk id="383" max="10" man="1"/>
    <brk id="410" max="10" man="1"/>
    <brk id="436" max="10" man="1"/>
    <brk id="457" max="10" man="1"/>
    <brk id="480" max="10" man="1"/>
    <brk id="502" max="10" man="1"/>
    <brk id="50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7.28125" style="0" customWidth="1"/>
    <col min="2" max="2" width="55.140625" style="0" customWidth="1"/>
    <col min="3" max="5" width="16.57421875" style="0" customWidth="1"/>
    <col min="6" max="7" width="11.00390625" style="0" customWidth="1"/>
    <col min="8" max="9" width="13.7109375" style="0" customWidth="1"/>
    <col min="10" max="10" width="14.140625" style="0" customWidth="1"/>
    <col min="11" max="11" width="13.7109375" style="0" customWidth="1"/>
    <col min="12" max="12" width="13.8515625" style="0" customWidth="1"/>
    <col min="13" max="13" width="14.7109375" style="0" customWidth="1"/>
  </cols>
  <sheetData>
    <row r="1" spans="1:7" ht="43.5" customHeight="1">
      <c r="A1" s="591" t="s">
        <v>552</v>
      </c>
      <c r="B1" s="592"/>
      <c r="C1" s="592"/>
      <c r="D1" s="592"/>
      <c r="E1" s="592"/>
      <c r="F1" s="592"/>
      <c r="G1" s="592"/>
    </row>
    <row r="2" spans="1:7" ht="16.5" customHeight="1" thickBot="1">
      <c r="A2" s="593" t="s">
        <v>495</v>
      </c>
      <c r="B2" s="594"/>
      <c r="C2" s="445"/>
      <c r="D2" s="445"/>
      <c r="E2" s="445"/>
      <c r="F2" s="445"/>
      <c r="G2" s="445"/>
    </row>
    <row r="3" spans="1:7" ht="93.75" customHeight="1" thickTop="1">
      <c r="A3" s="128" t="s">
        <v>247</v>
      </c>
      <c r="B3" s="113" t="s">
        <v>248</v>
      </c>
      <c r="C3" s="136" t="s">
        <v>477</v>
      </c>
      <c r="D3" s="136" t="s">
        <v>539</v>
      </c>
      <c r="E3" s="136" t="s">
        <v>540</v>
      </c>
      <c r="F3" s="136" t="s">
        <v>118</v>
      </c>
      <c r="G3" s="138" t="s">
        <v>130</v>
      </c>
    </row>
    <row r="4" spans="1:7" ht="15" customHeight="1">
      <c r="A4" s="147">
        <v>1</v>
      </c>
      <c r="B4" s="25">
        <v>2</v>
      </c>
      <c r="C4" s="188" t="s">
        <v>128</v>
      </c>
      <c r="D4" s="188" t="s">
        <v>546</v>
      </c>
      <c r="E4" s="188" t="s">
        <v>553</v>
      </c>
      <c r="F4" s="188" t="s">
        <v>543</v>
      </c>
      <c r="G4" s="148">
        <v>7</v>
      </c>
    </row>
    <row r="5" spans="1:9" ht="14.25">
      <c r="A5" s="129" t="s">
        <v>64</v>
      </c>
      <c r="B5" s="130" t="s">
        <v>73</v>
      </c>
      <c r="C5" s="189">
        <f>SUM(SUMIF(Org!$A$8:Org!$A$500," 0111",Org!E$8:Org!E$500),SUMIF(Org!$A$10:Org!$A$500," 0160",Org!E$10:Org!E$501),SUMIF(Org!$A$10:Org!$A$500," 0180",Org!E$10:Org!E$501),SUMIF(Org!$A$10:Org!$A$500,"0170 ",Org!E$10:Org!E$500))-'B.pr. i prim. za nef. im.'!D89-'B.pr. i prim. za nef. im.'!D91</f>
        <v>4520700</v>
      </c>
      <c r="D5" s="189">
        <f>SUM(SUMIF(Org!$A$8:Org!$A$500," 0111",Org!F$8:Org!F$500),SUMIF(Org!$A$10:Org!$A$500," 0160",Org!F$10:Org!F$501),SUMIF(Org!$A$10:Org!$A$500," 0180",Org!F$10:Org!F$501),SUMIF(Org!$A$10:Org!$A$500,"0170 ",Org!F$10:Org!F$500))-'B.pr. i prim. za nef. im.'!FE89-'B.pr. i prim. za nef. im.'!D91</f>
        <v>155705</v>
      </c>
      <c r="E5" s="189">
        <f>SUM(SUMIF(Org!$A$8:Org!$A$500," 0111",Org!G$8:Org!G$500),SUMIF(Org!$A$10:Org!$A$500," 0160",Org!G$10:Org!G$501),SUMIF(Org!$A$10:Org!$A$500," 0180",Org!G$10:Org!G$501),SUMIF(Org!$A$10:Org!$A$500,"0170 ",Org!G$10:Org!G$500))-'B.pr. i prim. za nef. im.'!F89-'B.pr. i prim. za nef. im.'!F91</f>
        <v>4686405</v>
      </c>
      <c r="F5" s="189">
        <f>IF(C5&gt;0,E5/C5*100,0)</f>
        <v>103.66547216139092</v>
      </c>
      <c r="G5" s="131">
        <f>E5/$E$15*100</f>
        <v>29.14730418821635</v>
      </c>
      <c r="I5" s="1"/>
    </row>
    <row r="6" spans="1:9" ht="14.25">
      <c r="A6" s="129" t="s">
        <v>65</v>
      </c>
      <c r="B6" s="132" t="s">
        <v>74</v>
      </c>
      <c r="C6" s="189">
        <f>SUM(SUMIF(Org!$A$10:Org!$A$501,"02",Org!E$10:Org!E$501))</f>
        <v>0</v>
      </c>
      <c r="D6" s="189">
        <f>SUM(SUMIF(Org!$A$10:Org!$A$501,"02",Org!F$10:Org!F$501))</f>
        <v>0</v>
      </c>
      <c r="E6" s="189">
        <f>SUM(SUMIF(Org!$A$10:Org!$A$501,"02",Org!G$10:Org!G$501))</f>
        <v>0</v>
      </c>
      <c r="F6" s="189">
        <f aca="true" t="shared" si="0" ref="F6:F15">IF(C6&gt;0,E6/C6*100,0)</f>
        <v>0</v>
      </c>
      <c r="G6" s="131">
        <f aca="true" t="shared" si="1" ref="G6:G15">E6/$E$15*100</f>
        <v>0</v>
      </c>
      <c r="I6" s="1"/>
    </row>
    <row r="7" spans="1:9" ht="14.25">
      <c r="A7" s="129" t="s">
        <v>66</v>
      </c>
      <c r="B7" s="130" t="s">
        <v>75</v>
      </c>
      <c r="C7" s="189">
        <f>SUM(SUMIF(Org!$A$10:Org!$A$500," 0320",Org!E$10:Org!E$501))</f>
        <v>339781.85</v>
      </c>
      <c r="D7" s="189">
        <f>SUM(SUMIF(Org!$A$10:Org!$A$500," 0320",Org!F$10:Org!F$501))</f>
        <v>-4781.850000000006</v>
      </c>
      <c r="E7" s="189">
        <f>SUM(SUMIF(Org!$A$10:Org!$A$500," 0320",Org!G$10:Org!G$501))</f>
        <v>335000</v>
      </c>
      <c r="F7" s="189">
        <f t="shared" si="0"/>
        <v>98.59267056200913</v>
      </c>
      <c r="G7" s="131">
        <f t="shared" si="1"/>
        <v>2.0835473893213408</v>
      </c>
      <c r="I7" s="1"/>
    </row>
    <row r="8" spans="1:9" ht="14.25">
      <c r="A8" s="129" t="s">
        <v>67</v>
      </c>
      <c r="B8" s="133" t="s">
        <v>76</v>
      </c>
      <c r="C8" s="189">
        <f>SUM(SUMIF(Org!$A$10:Org!$A$500," 0412",Org!E$10:Org!E$500),SUMIF(Org!$A$10:Org!$A$500," 0421",Org!E$10:Org!E$500),SUMIF(Org!$A$10:Org!$A$500," 0422",Org!E$10:Org!E$500),SUMIF(Org!$A$10:Org!$A$500," 0442",Org!E$10:Org!E$500),SUMIF(Org!$A$10:Org!$A$500," 0451",Org!E$10:Org!E$501),SUMIF(Org!$A$10:Org!$A$500," 0473",Org!E$10:Org!E$501),SUMIF(Org!$A$10:Org!$A$500,"0474 ",Org!E$10:Org!E$500),SUMIF(Org!$A$10:Org!$A$500,"0490 ",Org!E$10:Org!E$500))</f>
        <v>1274000</v>
      </c>
      <c r="D8" s="189">
        <f>SUM(SUMIF(Org!$A$10:Org!$A$500," 0412",Org!F$10:Org!F$500),SUMIF(Org!$A$10:Org!$A$500," 0421",Org!F$10:Org!F$500),SUMIF(Org!$A$10:Org!$A$500," 0422",Org!F$10:Org!F$500),SUMIF(Org!$A$10:Org!$A$500," 0442",Org!F$10:Org!F$500),SUMIF(Org!$A$10:Org!$A$500," 0451",Org!F$10:Org!F$501),SUMIF(Org!$A$10:Org!$A$500," 0473",Org!F$10:Org!F$501),SUMIF(Org!$A$10:Org!$A$500,"0474 ",Org!F$10:Org!F$500),SUMIF(Org!$A$10:Org!$A$500,"0490 ",Org!F$10:Org!F$500))</f>
        <v>-159400</v>
      </c>
      <c r="E8" s="189">
        <f>SUM(SUMIF(Org!$A$10:Org!$A$500," 0412",Org!G$10:Org!G$500),SUMIF(Org!$A$10:Org!$A$500," 0421",Org!G$10:Org!G$500),SUMIF(Org!$A$10:Org!$A$500," 0422",Org!G$10:Org!G$500),SUMIF(Org!$A$10:Org!$A$500," 0442",Org!G$10:Org!G$500),SUMIF(Org!$A$10:Org!$A$500," 0451",Org!G$10:Org!G$501),SUMIF(Org!$A$10:Org!$A$500," 0473",Org!G$10:Org!G$501),SUMIF(Org!$A$10:Org!$A$500,"0474 ",Org!G$10:Org!G$500),SUMIF(Org!$A$10:Org!$A$500,"0490 ",Org!G$10:Org!G$500))</f>
        <v>1114600</v>
      </c>
      <c r="F8" s="189">
        <f t="shared" si="0"/>
        <v>87.48822605965462</v>
      </c>
      <c r="G8" s="131">
        <f t="shared" si="1"/>
        <v>6.9323042392166165</v>
      </c>
      <c r="H8" s="1"/>
      <c r="I8" s="1"/>
    </row>
    <row r="9" spans="1:9" ht="14.25">
      <c r="A9" s="129" t="s">
        <v>68</v>
      </c>
      <c r="B9" s="133" t="s">
        <v>77</v>
      </c>
      <c r="C9" s="189">
        <f>SUM(SUMIF(Org!$A$10:Org!$A$500," 0520",Org!E$10:Org!E$500))</f>
        <v>250000</v>
      </c>
      <c r="D9" s="189">
        <f>SUM(SUMIF(Org!$A$10:Org!$A$500," 0520",Org!F$10:Org!F$500))</f>
        <v>225700</v>
      </c>
      <c r="E9" s="189">
        <f>SUM(SUMIF(Org!$A$10:Org!$A$500," 0520",Org!G$10:Org!G$500))</f>
        <v>475700</v>
      </c>
      <c r="F9" s="189">
        <f t="shared" si="0"/>
        <v>190.28</v>
      </c>
      <c r="G9" s="131">
        <f t="shared" si="1"/>
        <v>2.958637292836304</v>
      </c>
      <c r="I9" s="1"/>
    </row>
    <row r="10" spans="1:9" ht="14.25">
      <c r="A10" s="129" t="s">
        <v>69</v>
      </c>
      <c r="B10" s="133" t="s">
        <v>78</v>
      </c>
      <c r="C10" s="189">
        <f>SUM(SUMIF(Org!$A$10:Org!$A$500,"0630 ",Org!E$10:Org!E$500),SUMIF(Org!$A$10:Org!$A$500,"0620",Org!E$10:Org!E$500),SUMIF(Org!$A$10:Org!$A$500,"0660",Org!E$10:Org!E$500))</f>
        <v>2217272.02</v>
      </c>
      <c r="D10" s="189">
        <f>SUM(SUMIF(Org!$A$10:Org!$A$500,"0630 ",Org!F$10:Org!F$500),SUMIF(Org!$A$10:Org!$A$500,"0620",Org!F$10:Org!F$500),SUMIF(Org!$A$10:Org!$A$500,"0660",Org!F$10:Org!F$500))</f>
        <v>1740910.98</v>
      </c>
      <c r="E10" s="189">
        <f>SUM(SUMIF(Org!$A$10:Org!$A$500,"0630 ",Org!G$10:Org!G$500),SUMIF(Org!$A$10:Org!$A$500,"0620",Org!G$10:Org!G$500),SUMIF(Org!$A$10:Org!$A$500,"0660",Org!G$10:Org!G$500))</f>
        <v>3958183</v>
      </c>
      <c r="F10" s="189">
        <f t="shared" si="0"/>
        <v>178.51589540195434</v>
      </c>
      <c r="G10" s="131">
        <f t="shared" si="1"/>
        <v>24.618095092854066</v>
      </c>
      <c r="I10" s="1"/>
    </row>
    <row r="11" spans="1:9" ht="14.25">
      <c r="A11" s="129" t="s">
        <v>70</v>
      </c>
      <c r="B11" s="134" t="s">
        <v>79</v>
      </c>
      <c r="C11" s="189">
        <f>SUM(SUMIF(Org!$A$10:Org!$A$500,"0740",Org!E$10:Org!E$500),SUMIF(Org!$A$10:Org!$A$500,"0734",Org!E$10:Org!E$500))</f>
        <v>189800</v>
      </c>
      <c r="D11" s="189">
        <f>SUM(SUMIF(Org!$A$10:Org!$A$500,"0740",Org!F$10:Org!F$500),SUMIF(Org!$A$10:Org!$A$500,"0734",Org!F$10:Org!F$500))</f>
        <v>-15007</v>
      </c>
      <c r="E11" s="189">
        <f>SUM(SUMIF(Org!$A$10:Org!$A$500,"0740",Org!G$10:Org!G$500),SUMIF(Org!$A$10:Org!$A$500,"0734",Org!G$10:Org!G$500))</f>
        <v>174793</v>
      </c>
      <c r="F11" s="189">
        <f t="shared" si="0"/>
        <v>92.09325605900949</v>
      </c>
      <c r="G11" s="131">
        <f t="shared" si="1"/>
        <v>1.0871328323034182</v>
      </c>
      <c r="I11" s="1"/>
    </row>
    <row r="12" spans="1:9" ht="14.25">
      <c r="A12" s="129" t="s">
        <v>71</v>
      </c>
      <c r="B12" s="134" t="s">
        <v>80</v>
      </c>
      <c r="C12" s="189">
        <f>SUM(SUMIF(Org!$A$10:Org!$A$500,"0810",Org!E$10:E$501),SUMIF(Org!$A$10:Org!$A$501,"0820",Org!E$10:Org!E$501),SUMIF(Org!$A$10:Org!$A$501,"0830",Org!E$10:Org!E$501),SUMIF(Org!$A$10:Org!$A$500,"0840",Org!E$10:Org!E$501),SUMIF(Org!$A$10:Org!$A$500,"0860",Org!E$10:Org!E$501))-'B.pr. i prim. za nef. im.'!D94</f>
        <v>1000600</v>
      </c>
      <c r="D12" s="189">
        <f>SUM(SUMIF(Org!$A$10:Org!$A$500,"0810",Org!F$10:F$501),SUMIF(Org!$A$10:Org!$A$501,"0820",Org!F$10:Org!F$501),SUMIF(Org!$A$10:Org!$A$501,"0830",Org!F$10:Org!F$501),SUMIF(Org!$A$10:Org!$A$500,"0840",Org!F$10:Org!F$501),SUMIF(Org!$A$10:Org!$A$500,"0860",Org!F$10:Org!F$501))-'B.pr. i prim. za nef. im.'!D94</f>
        <v>39059</v>
      </c>
      <c r="E12" s="189">
        <f>SUM(SUMIF(Org!$A$10:Org!$A$500,"0810",Org!G$10:G$501),SUMIF(Org!$A$10:Org!$A$501,"0820",Org!G$10:Org!G$501),SUMIF(Org!$A$10:Org!$A$501,"0830",Org!G$10:Org!G$501),SUMIF(Org!$A$10:Org!$A$500,"0840",Org!G$10:Org!G$501),SUMIF(Org!$A$10:Org!$A$500,"0860",Org!G$10:Org!G$501))-'B.pr. i prim. za nef. im.'!F94</f>
        <v>1044659</v>
      </c>
      <c r="F12" s="189">
        <f t="shared" si="0"/>
        <v>104.40325804517289</v>
      </c>
      <c r="G12" s="131">
        <f t="shared" si="1"/>
        <v>6.49730308113744</v>
      </c>
      <c r="I12" s="1"/>
    </row>
    <row r="13" spans="1:9" ht="14.25">
      <c r="A13" s="129" t="s">
        <v>72</v>
      </c>
      <c r="B13" s="133" t="s">
        <v>81</v>
      </c>
      <c r="C13" s="189">
        <f>SUM(SUMIF(Org!$A$10:Org!$A$500,"0912",Org!E$10:Org!E$501),SUMIF(Org!$A$10:Org!$A$500,"0911",Org!E$10:Org!E$501),SUMIF(Org!$A$10:Org!$A$500,"0941",Org!E$10:Org!E$501),SUMIF(Org!$A$10:Org!$A$500,"0942",Org!E$10:Org!E$501),SUMIF(Org!$A$10:Org!$A$500,"0922",Org!E$10:Org!E$501),SUMIF(Org!$A$10:Org!$A$500,"0921",Org!E$10:Org!E$501))</f>
        <v>1252050</v>
      </c>
      <c r="D13" s="189">
        <f>SUM(SUMIF(Org!$A$10:Org!$A$500,"0912",Org!F$10:Org!F$501),SUMIF(Org!$A$10:Org!$A$500,"0911",Org!F$10:Org!F$501),SUMIF(Org!$A$10:Org!$A$500,"0941",Org!F$10:Org!F$501),SUMIF(Org!$A$10:Org!$A$500,"0942",Org!F$10:Org!F$501),SUMIF(Org!$A$10:Org!$A$500,"0922",Org!F$10:Org!F$501),SUMIF(Org!$A$10:Org!$A$500,"0921",Org!F$10:Org!F$501))</f>
        <v>19683</v>
      </c>
      <c r="E13" s="189">
        <f>SUM(SUMIF(Org!$A$10:Org!$A$500,"0912",Org!G$10:Org!G$501),SUMIF(Org!$A$10:Org!$A$500,"0911",Org!G$10:Org!G$501),SUMIF(Org!$A$10:Org!$A$500,"0941",Org!G$10:Org!G$501),SUMIF(Org!$A$10:Org!$A$500,"0942",Org!G$10:Org!G$501),SUMIF(Org!$A$10:Org!$A$500,"0922",Org!G$10:Org!G$501),SUMIF(Org!$A$10:Org!$A$500,"0921",Org!G$10:Org!G$501))</f>
        <v>1271733</v>
      </c>
      <c r="F13" s="189">
        <f t="shared" si="0"/>
        <v>101.57206181861747</v>
      </c>
      <c r="G13" s="131">
        <f t="shared" si="1"/>
        <v>7.909599916608348</v>
      </c>
      <c r="I13" s="341"/>
    </row>
    <row r="14" spans="1:9" ht="14.25">
      <c r="A14" s="135">
        <v>10</v>
      </c>
      <c r="B14" s="133" t="s">
        <v>82</v>
      </c>
      <c r="C14" s="189">
        <f>SUM(SUMIF(Org!$A$10:Org!$A$501,"1090",Org!E$10:Org!E$501),SUMIF(Org!$A$10:Org!$A$501,"1040",Org!E$10:Org!E$501))</f>
        <v>2962450</v>
      </c>
      <c r="D14" s="189">
        <f>SUM(SUMIF(Org!$A$10:Org!$A$501,"1090",Org!F$10:Org!F$501),SUMIF(Org!$A$10:Org!$A$501,"1040",Org!F$10:Org!F$501))</f>
        <v>54825</v>
      </c>
      <c r="E14" s="189">
        <f>SUM(SUMIF(Org!$A$10:Org!$A$501,"1090",Org!G$10:Org!G$501),SUMIF(Org!$A$10:Org!$A$501,"1040",Org!G$10:Org!G$501))</f>
        <v>3017275</v>
      </c>
      <c r="F14" s="189">
        <f t="shared" si="0"/>
        <v>101.85066414623032</v>
      </c>
      <c r="G14" s="131">
        <f t="shared" si="1"/>
        <v>18.766075967506115</v>
      </c>
      <c r="I14" s="1"/>
    </row>
    <row r="15" spans="1:9" ht="22.5" customHeight="1" thickBot="1">
      <c r="A15" s="190"/>
      <c r="B15" s="259" t="s">
        <v>419</v>
      </c>
      <c r="C15" s="260">
        <f>SUM(C5:C14)</f>
        <v>14006653.87</v>
      </c>
      <c r="D15" s="260">
        <f>SUM(D5:D14)</f>
        <v>2056694.13</v>
      </c>
      <c r="E15" s="260">
        <f>SUM(E5:E14)</f>
        <v>16078348</v>
      </c>
      <c r="F15" s="260">
        <f t="shared" si="0"/>
        <v>114.79078550257628</v>
      </c>
      <c r="G15" s="442">
        <f t="shared" si="1"/>
        <v>100</v>
      </c>
      <c r="I15" s="1"/>
    </row>
    <row r="16" spans="3:7" ht="13.5" thickTop="1">
      <c r="C16" s="1"/>
      <c r="D16" s="1"/>
      <c r="E16" s="1"/>
      <c r="F16" s="1"/>
      <c r="G16" s="1"/>
    </row>
    <row r="17" spans="1:2" ht="17.25" customHeight="1" thickBot="1">
      <c r="A17" s="595" t="s">
        <v>501</v>
      </c>
      <c r="B17" s="595"/>
    </row>
    <row r="18" spans="1:7" ht="97.5" customHeight="1" thickTop="1">
      <c r="A18" s="446" t="s">
        <v>247</v>
      </c>
      <c r="B18" s="447" t="s">
        <v>496</v>
      </c>
      <c r="C18" s="448" t="s">
        <v>477</v>
      </c>
      <c r="D18" s="448" t="s">
        <v>539</v>
      </c>
      <c r="E18" s="448" t="s">
        <v>540</v>
      </c>
      <c r="F18" s="448" t="s">
        <v>118</v>
      </c>
      <c r="G18" s="449" t="s">
        <v>130</v>
      </c>
    </row>
    <row r="19" spans="1:7" ht="14.25" customHeight="1" thickBot="1">
      <c r="A19" s="450">
        <v>1</v>
      </c>
      <c r="B19" s="451">
        <v>2</v>
      </c>
      <c r="C19" s="451">
        <v>3</v>
      </c>
      <c r="D19" s="451" t="s">
        <v>546</v>
      </c>
      <c r="E19" s="451">
        <v>5</v>
      </c>
      <c r="F19" s="451" t="s">
        <v>543</v>
      </c>
      <c r="G19" s="452">
        <v>7</v>
      </c>
    </row>
    <row r="20" spans="1:7" ht="12.75">
      <c r="A20" s="453" t="s">
        <v>497</v>
      </c>
      <c r="B20" s="454" t="s">
        <v>498</v>
      </c>
      <c r="C20" s="455">
        <f>C15-C21</f>
        <v>12064003.87</v>
      </c>
      <c r="D20" s="455">
        <f>D15-D21</f>
        <v>1919638.13</v>
      </c>
      <c r="E20" s="455">
        <f>E15-E21</f>
        <v>13998542</v>
      </c>
      <c r="F20" s="455">
        <f>E20/C20*100</f>
        <v>116.03562259135782</v>
      </c>
      <c r="G20" s="456">
        <f>E20/$E$22*100</f>
        <v>87.06455414449296</v>
      </c>
    </row>
    <row r="21" spans="1:7" ht="13.5" thickBot="1">
      <c r="A21" s="457" t="s">
        <v>499</v>
      </c>
      <c r="B21" s="458" t="s">
        <v>500</v>
      </c>
      <c r="C21" s="459">
        <f>SUM(SUMIF(Org!$A$10:Org!$A$501,"0734",Org!E$10:Org!E$501),SUMIF(Org!$A$10:Org!$A$501,"0740",Org!E$10:Org!E$501),SUMIF(Org!$A$10:Org!$A$501,"0810",Org!E$10:Org!E$501),SUMIF(Org!$A$10:Org!$A$501,"0820",Org!E$10:Org!E$501),SUMIF(Org!$A$10:Org!$A$501,"0911",Org!E$10:Org!E$501),SUMIF(Org!$A$10:Org!$A$501,"0912",Org!E$10:Org!E$501),SUMIF(Org!$A$10:Org!$A$501,"0921",Org!E$10:Org!E$501),SUMIF(Org!$A$10:Org!$A$501,"0922",Org!E$10:Org!E$501),SUMIF(Org!$A$10:Org!$A$501,"0941",Org!E$10:Org!E$501),SUMIF(Org!$A$10:Org!$A$501,"1040",Org!E$10:Org!E$501))-'B.pr. i prim. za nef. im.'!D93</f>
        <v>1942650</v>
      </c>
      <c r="D21" s="459">
        <f>SUM(SUMIF(Org!$A$10:Org!$A$501,"0734",Org!F$10:Org!F$501),SUMIF(Org!$A$10:Org!$A$501,"0740",Org!F$10:Org!F$501),SUMIF(Org!$A$10:Org!$A$501,"0810",Org!F$10:Org!F$501),SUMIF(Org!$A$10:Org!$A$501,"0820",Org!F$10:Org!F$501),SUMIF(Org!$A$10:Org!$A$501,"0911",Org!F$10:Org!F$501),SUMIF(Org!$A$10:Org!$A$501,"0912",Org!F$10:Org!F$501),SUMIF(Org!$A$10:Org!$A$501,"0921",Org!F$10:Org!F$501),SUMIF(Org!$A$10:Org!$A$501,"0922",Org!F$10:Org!F$501),SUMIF(Org!$A$10:Org!$A$501,"0941",Org!F$10:Org!F$501),SUMIF(Org!$A$10:Org!$A$501,"1040",Org!F$10:Org!F$501))-'B.pr. i prim. za nef. im.'!G93</f>
        <v>137056</v>
      </c>
      <c r="E21" s="459">
        <f>SUM(SUMIF(Org!$A$10:Org!$A$501,"0734",Org!G$10:Org!G$501),SUMIF(Org!$A$10:Org!$A$501,"0740",Org!G$10:Org!G$501),SUMIF(Org!$A$10:Org!$A$501,"0810",Org!G$10:Org!G$501),SUMIF(Org!$A$10:Org!$A$501,"0820",Org!G$10:Org!G$501),SUMIF(Org!$A$10:Org!$A$501,"0911",Org!G$10:Org!G$501),SUMIF(Org!$A$10:Org!$A$501,"0912",Org!G$10:Org!G$501),SUMIF(Org!$A$10:Org!$A$501,"0921",Org!G$10:Org!G$501),SUMIF(Org!$A$10:Org!$A$501,"0922",Org!G$10:Org!G$501),SUMIF(Org!$A$10:Org!$A$501,"0941",Org!G$10:Org!G$501),SUMIF(Org!$A$10:Org!$A$501,"1040",Org!G$10:Org!G$501))-'B.pr. i prim. za nef. im.'!F93</f>
        <v>2079806</v>
      </c>
      <c r="F21" s="491">
        <f>E21/C21*100</f>
        <v>107.06025274753559</v>
      </c>
      <c r="G21" s="460">
        <f>E21/$E$22*100</f>
        <v>12.935445855507046</v>
      </c>
    </row>
    <row r="22" spans="1:7" ht="20.25" customHeight="1" thickBot="1">
      <c r="A22" s="190"/>
      <c r="B22" s="259" t="s">
        <v>419</v>
      </c>
      <c r="C22" s="260">
        <f>SUM(C20:C21)</f>
        <v>14006653.87</v>
      </c>
      <c r="D22" s="260">
        <f>SUM(D20:D21)</f>
        <v>2056694.13</v>
      </c>
      <c r="E22" s="260">
        <f>SUM(E20:E21)</f>
        <v>16078348</v>
      </c>
      <c r="F22" s="461">
        <f>E22/C22*100</f>
        <v>114.79078550257628</v>
      </c>
      <c r="G22" s="462">
        <f>E22/$E$22*100</f>
        <v>100</v>
      </c>
    </row>
    <row r="23" spans="1:7" ht="13.5" thickTop="1">
      <c r="A23" s="192"/>
      <c r="B23" s="192"/>
      <c r="C23" s="192"/>
      <c r="D23" s="192"/>
      <c r="E23" s="192"/>
      <c r="F23" s="192"/>
      <c r="G23" s="192"/>
    </row>
    <row r="24" spans="1:7" ht="12.75">
      <c r="A24" s="192"/>
      <c r="B24" s="192"/>
      <c r="C24" s="192"/>
      <c r="D24" s="192"/>
      <c r="E24" s="192"/>
      <c r="F24" s="192"/>
      <c r="G24" s="192"/>
    </row>
    <row r="25" spans="1:7" ht="4.5" customHeight="1" hidden="1">
      <c r="A25" s="192"/>
      <c r="B25" s="258" t="s">
        <v>536</v>
      </c>
      <c r="C25" s="499">
        <f>'B.pr. i prim. za nef. im.'!D88</f>
        <v>105000</v>
      </c>
      <c r="D25" s="499">
        <f>'B.pr. i prim. za nef. im.'!D88</f>
        <v>105000</v>
      </c>
      <c r="E25" s="499">
        <f>'B.pr. i prim. za nef. im.'!F88</f>
        <v>195000</v>
      </c>
      <c r="F25" s="499"/>
      <c r="G25" s="192"/>
    </row>
    <row r="26" spans="1:7" ht="12.75" hidden="1">
      <c r="A26" s="192"/>
      <c r="B26" s="279" t="s">
        <v>103</v>
      </c>
      <c r="C26" s="499">
        <f>'B.rash. i izdaci za nef. im.'!C41</f>
        <v>160000</v>
      </c>
      <c r="D26" s="499">
        <f>'B.rash. i izdaci za nef. im.'!D41</f>
        <v>-140000</v>
      </c>
      <c r="E26" s="499">
        <f>'B.rash. i izdaci za nef. im.'!E41</f>
        <v>20000</v>
      </c>
      <c r="F26" s="499"/>
      <c r="G26" s="192"/>
    </row>
    <row r="27" spans="1:7" ht="2.25" customHeight="1" hidden="1">
      <c r="A27" s="192"/>
      <c r="B27" s="258" t="s">
        <v>164</v>
      </c>
      <c r="C27" s="258">
        <f>Finansiranje!C14</f>
        <v>6881727.9799999995</v>
      </c>
      <c r="D27" s="258">
        <f>Finansiranje!D14</f>
        <v>-41496.98000000004</v>
      </c>
      <c r="E27" s="258">
        <f>Finansiranje!E14</f>
        <v>6840231</v>
      </c>
      <c r="F27" s="258"/>
      <c r="G27" s="192"/>
    </row>
    <row r="28" spans="2:5" ht="12.75" hidden="1">
      <c r="B28" s="500" t="s">
        <v>399</v>
      </c>
      <c r="C28" s="1">
        <f>Finansiranje!C27</f>
        <v>81000</v>
      </c>
      <c r="D28" s="258">
        <f>Finansiranje!D27</f>
        <v>-23500</v>
      </c>
      <c r="E28" s="1">
        <f>Finansiranje!E27</f>
        <v>57500</v>
      </c>
    </row>
    <row r="29" spans="2:8" ht="2.25" customHeight="1" hidden="1">
      <c r="B29" s="500" t="s">
        <v>537</v>
      </c>
      <c r="C29" s="61">
        <f>SUM(C22:C28)</f>
        <v>21234381.849999998</v>
      </c>
      <c r="D29" s="61">
        <f>SUM(D22:D28)</f>
        <v>1956697.15</v>
      </c>
      <c r="E29" s="61">
        <f>SUM(E22:E28)</f>
        <v>23191079</v>
      </c>
      <c r="H29" s="1"/>
    </row>
    <row r="30" ht="12.75" hidden="1"/>
    <row r="31" spans="2:5" ht="1.5" customHeight="1" hidden="1">
      <c r="B31" s="503" t="s">
        <v>567</v>
      </c>
      <c r="C31" s="1">
        <f>Org!E502</f>
        <v>21234381.849999998</v>
      </c>
      <c r="D31" s="1">
        <f>Org!F502</f>
        <v>1956697.15</v>
      </c>
      <c r="E31" s="1">
        <f>Org!G502</f>
        <v>23191079</v>
      </c>
    </row>
    <row r="32" spans="3:5" ht="12.75" hidden="1">
      <c r="C32" s="1">
        <f>C31-C29</f>
        <v>0</v>
      </c>
      <c r="D32" s="1">
        <f>D31-D29</f>
        <v>0</v>
      </c>
      <c r="E32" s="1">
        <f>E31-E29</f>
        <v>0</v>
      </c>
    </row>
    <row r="33" ht="12.75">
      <c r="H33" s="1"/>
    </row>
  </sheetData>
  <sheetProtection/>
  <mergeCells count="3">
    <mergeCell ref="A1:G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r:id="rId1"/>
  <headerFooter alignWithMargins="0">
    <oddFooter>&amp;R&amp;P</oddFooter>
  </headerFooter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2018-10-23T10:27:33Z</cp:lastPrinted>
  <dcterms:created xsi:type="dcterms:W3CDTF">2006-03-15T13:27:57Z</dcterms:created>
  <dcterms:modified xsi:type="dcterms:W3CDTF">2018-10-25T09:13:01Z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6170</vt:i4>
  </property>
</Properties>
</file>