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20" activeTab="2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Area" localSheetId="2">'B.pr. i prim. za nef. im.'!$A$1:$H$116</definedName>
    <definedName name="_xlnm.Print_Area" localSheetId="3">'B.rash. i izdaci za nef. im.'!$A$1:$G$65</definedName>
    <definedName name="_xlnm.Print_Area" localSheetId="4">'Finansiranje'!$A$1:$E$43</definedName>
    <definedName name="_xlnm.Print_Area" localSheetId="6">'Funkc. kl.'!$A$1:$H$22</definedName>
    <definedName name="_xlnm.Print_Area" localSheetId="1">'opsti dio'!$A$1:$F$68</definedName>
    <definedName name="_xlnm.Print_Area" localSheetId="5">'Org'!$A$1:$I$562</definedName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</definedNames>
  <calcPr fullCalcOnLoad="1"/>
</workbook>
</file>

<file path=xl/sharedStrings.xml><?xml version="1.0" encoding="utf-8"?>
<sst xmlns="http://schemas.openxmlformats.org/spreadsheetml/2006/main" count="1259" uniqueCount="653">
  <si>
    <t>Трошкови репрезентације</t>
  </si>
  <si>
    <t>Помоћи појединцима</t>
  </si>
  <si>
    <t>Набавка опреме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</si>
  <si>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</si>
  <si>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</si>
  <si>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</si>
  <si>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</si>
  <si>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</si>
  <si>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</si>
  <si>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добитке од игара на срећу</t>
  </si>
  <si>
    <t>Приходи од земљишне ренте</t>
  </si>
  <si>
    <t>Административне таксе</t>
  </si>
  <si>
    <t>Комуналне таксе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</si>
  <si>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</si>
  <si>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</si>
  <si>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</si>
  <si>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</si>
  <si>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 xml:space="preserve">Новчане казне </t>
  </si>
  <si>
    <t>Остали непорески приходи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</si>
  <si>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</si>
  <si>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</si>
  <si>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</si>
  <si>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</si>
  <si>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</si>
  <si>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</si>
  <si>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</si>
  <si>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</si>
  <si>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</si>
  <si>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</si>
  <si>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</si>
  <si>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</si>
  <si>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</si>
  <si>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</si>
  <si>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</si>
  <si>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</si>
  <si>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</si>
  <si>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</si>
  <si>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</si>
  <si>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</si>
  <si>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</si>
  <si>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</si>
  <si>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</si>
  <si>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</si>
  <si>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</si>
  <si>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</si>
  <si>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</si>
  <si>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</si>
  <si>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</si>
  <si>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</si>
  <si>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</si>
  <si>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</si>
  <si>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</si>
  <si>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</si>
  <si>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</si>
  <si>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</si>
  <si>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</si>
  <si>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</si>
  <si>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</si>
  <si>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</si>
  <si>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</si>
  <si>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</si>
  <si>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</si>
  <si>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</si>
  <si>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</si>
  <si>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</si>
  <si>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</si>
  <si>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</si>
  <si>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</si>
  <si>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</si>
  <si>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</si>
  <si>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</si>
  <si>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</si>
  <si>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</si>
  <si>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</si>
  <si>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</si>
  <si>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</si>
  <si>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</si>
  <si>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</si>
  <si>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</si>
  <si>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</si>
  <si>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</si>
  <si>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</si>
  <si>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</si>
  <si>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</si>
  <si>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</si>
  <si>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</si>
  <si>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</si>
  <si>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</si>
  <si>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Удружење пензионера</t>
  </si>
  <si>
    <t>Чланарина у Савезу општина и градова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</si>
  <si>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</si>
  <si>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</si>
  <si>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</si>
  <si>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</si>
  <si>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</si>
  <si>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</si>
  <si>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</si>
  <si>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</si>
  <si>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</si>
  <si>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</si>
  <si>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</si>
  <si>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</si>
  <si>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</si>
  <si>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</si>
  <si>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</si>
  <si>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</si>
  <si>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</si>
  <si>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Трошкови електричне енергије за јавну расвјету
(у граду и мјесним заједницама)</t>
  </si>
  <si>
    <t>Средства за мјере превентивне здравствене заштите животиња</t>
  </si>
  <si>
    <t>% 
учешћа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</si>
  <si>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</si>
  <si>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</si>
  <si>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</si>
  <si>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</si>
  <si>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</si>
  <si>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</si>
  <si>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</si>
  <si>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</si>
  <si>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</si>
  <si>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</si>
  <si>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</si>
  <si>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</si>
  <si>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</si>
  <si>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</si>
  <si>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</si>
  <si>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</si>
  <si>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</si>
  <si>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</si>
  <si>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</si>
  <si>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</si>
  <si>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</si>
  <si>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буџета Републике, општина и градова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</si>
  <si>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</si>
  <si>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</si>
  <si>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</si>
  <si>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</si>
  <si>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</si>
  <si>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</si>
  <si>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</si>
  <si>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</si>
  <si>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</si>
  <si>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</si>
  <si>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</si>
  <si>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</si>
  <si>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</si>
  <si>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</si>
  <si>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</si>
  <si>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</si>
  <si>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</si>
  <si>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</si>
  <si>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</si>
  <si>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</si>
  <si>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</si>
  <si>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</si>
  <si>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</si>
  <si>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</si>
  <si>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</si>
  <si>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</si>
  <si>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</si>
  <si>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</si>
  <si>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</si>
  <si>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</si>
  <si>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</si>
  <si>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</si>
  <si>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</si>
  <si>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Набавка грађевинског материјала за изградњу пропуста, мостова и других објеката</t>
  </si>
  <si>
    <t>Субвенције</t>
  </si>
  <si>
    <t>Подстицаји пољопривредним произвођачима</t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</si>
  <si>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</si>
  <si>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</si>
  <si>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</si>
  <si>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</si>
  <si>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</si>
  <si>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</si>
  <si>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</si>
  <si>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Трошкови ископа, чишћења канала и других земљаних радова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</si>
  <si>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</si>
  <si>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</si>
  <si>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</si>
  <si>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</si>
  <si>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</si>
  <si>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</si>
  <si>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</si>
  <si>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</si>
  <si>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</si>
  <si>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</si>
  <si>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</si>
  <si>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Удружење СУБНОР-а</t>
  </si>
  <si>
    <t xml:space="preserve"> </t>
  </si>
  <si>
    <t>Средства за превоз ђака основних школа</t>
  </si>
  <si>
    <t>Фун. код</t>
  </si>
  <si>
    <t>О П И С</t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</si>
  <si>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</si>
  <si>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</si>
  <si>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</si>
  <si>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</si>
  <si>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</si>
  <si>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</si>
  <si>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Трошкови камате за робни кредит Краљевине Шпаније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</si>
  <si>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</si>
  <si>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</si>
  <si>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</si>
  <si>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</si>
  <si>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</si>
  <si>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</si>
  <si>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</si>
  <si>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</si>
  <si>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</si>
  <si>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</si>
  <si>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</si>
  <si>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</si>
  <si>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</si>
  <si>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</si>
  <si>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</si>
  <si>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</si>
  <si>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Издаци за прибављање земљишта (потпуна експропријација)</t>
  </si>
  <si>
    <t>Трошкови закупнине паркинг простора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</si>
  <si>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</si>
  <si>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</si>
  <si>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</si>
  <si>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t>ЈУ Центар средњих школа "Иво Андрић" Прњавор</t>
  </si>
  <si>
    <t>Поклон пакети за дјецу нижег узраста</t>
  </si>
  <si>
    <t>Једнократне новчане помоћи појединцима из борачке популације</t>
  </si>
  <si>
    <t>ЈУ Гимназија Прњавор</t>
  </si>
  <si>
    <t>Средства за подстицај и развој спорта</t>
  </si>
  <si>
    <t>Издаци за залихе ситног инвентара, ауто-гума, одјеће, обуће и сл.</t>
  </si>
  <si>
    <t>Мјере за побољшање демографске ситуације (вантјелесна оплодња и сл.)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</si>
  <si>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</si>
  <si>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</si>
  <si>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</si>
  <si>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</si>
  <si>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</si>
  <si>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</si>
  <si>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</si>
  <si>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</si>
  <si>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</si>
  <si>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</si>
  <si>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</si>
  <si>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</si>
  <si>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</si>
  <si>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</si>
  <si>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</si>
  <si>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</si>
  <si>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</si>
  <si>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</si>
  <si>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</si>
  <si>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</si>
  <si>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t>Укупни расходи за потрошачку
 јединицу бр.  00750125</t>
  </si>
  <si>
    <t>****</t>
  </si>
  <si>
    <t>Укупни расходи за потрошачку 
јединицу бр. 08180068</t>
  </si>
  <si>
    <t>Уређење корита ријека и потока из намјенских средстава за воде</t>
  </si>
  <si>
    <t>Средства за обуку структура заштите и спасавања</t>
  </si>
  <si>
    <t>Набавка опреме - цивилна заштита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</si>
  <si>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</si>
  <si>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</si>
  <si>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</si>
  <si>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</si>
  <si>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t>Издаци за залихе материјала, робе и ситног инвентара, 
амбалаже и сл.</t>
  </si>
  <si>
    <t>Концесионе накнаде за коришћење природних и других добара од општег интереса</t>
  </si>
  <si>
    <t>Накнада за уређивање грађевинског земљишта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</si>
  <si>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</si>
  <si>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</si>
  <si>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</si>
  <si>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t>Издаци за залихе материјала, робе и ситног инвентара</t>
  </si>
  <si>
    <t>Издаци за залихе ситног инвентара, одјеће и обуће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</si>
  <si>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</si>
  <si>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*******</t>
  </si>
  <si>
    <t>Примици од зајмова узетих од банака</t>
  </si>
  <si>
    <t>Инвестиционо одржавање опреме</t>
  </si>
  <si>
    <t>Издаци за отплату осталих дугова</t>
  </si>
  <si>
    <t>Издаци за залихе материјала, робе и ситног инвентара, амбалаже и сл.</t>
  </si>
  <si>
    <t>Капиталне инвестиције из домаћих прихода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</si>
  <si>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</si>
  <si>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</si>
  <si>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</si>
  <si>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</si>
  <si>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</si>
  <si>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</si>
  <si>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</si>
  <si>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</si>
  <si>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</si>
  <si>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</si>
  <si>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</si>
  <si>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</si>
  <si>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</si>
  <si>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</si>
  <si>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</si>
  <si>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</si>
  <si>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</si>
  <si>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</si>
  <si>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</si>
  <si>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</si>
  <si>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</si>
  <si>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</si>
  <si>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Трансфери између  различитих јединица 
власти</t>
  </si>
  <si>
    <t>Расходи за бруто плате запослених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</si>
  <si>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</si>
  <si>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</si>
  <si>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</si>
  <si>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</si>
  <si>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</si>
  <si>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</si>
  <si>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</si>
  <si>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</si>
  <si>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</si>
  <si>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</si>
  <si>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</si>
  <si>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</si>
  <si>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ФИНАНСИРАЊЕ (А+Б+В+Г)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</si>
  <si>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</si>
  <si>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</si>
  <si>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</si>
  <si>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</si>
  <si>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Порези на имовину - порез на непокретности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</si>
  <si>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</si>
  <si>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</si>
  <si>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</si>
  <si>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Финансирање Кола српских сестара Прњавор</t>
  </si>
  <si>
    <t>Финансирање СРД "Укрински цвијет" Прњавор</t>
  </si>
  <si>
    <t>0860</t>
  </si>
  <si>
    <t xml:space="preserve">Удружење грађана  "Ветерани Републике Српске" </t>
  </si>
  <si>
    <t>Посебна републичка такса на нафтне деривате</t>
  </si>
  <si>
    <t>Трансфери јединицама локалне самоуправе</t>
  </si>
  <si>
    <t>Отплата дуга по кредиту Краљевине Шпаније</t>
  </si>
  <si>
    <t>Остали издаци из трансакција са другим јединицама власти</t>
  </si>
  <si>
    <t>Трансфери ентитету</t>
  </si>
  <si>
    <t xml:space="preserve">Остали издаци из трансакција између или унутар јединица власти </t>
  </si>
  <si>
    <t>411000</t>
  </si>
  <si>
    <t>412000</t>
  </si>
  <si>
    <t>Укупни расходи за потрошачку
 јединицу бр.  08400005</t>
  </si>
  <si>
    <t>ЈУ Музичка школа "Константин Бабић" Прњавор</t>
  </si>
  <si>
    <t>Остали примици из трансакција између или унутар јединица власти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</si>
  <si>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</si>
  <si>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Остали издаци (рефундација прихода по основу књижних обавјештења добијених од Пореске управе)</t>
  </si>
  <si>
    <t>Остали издаци ( поврат/прекњижавање прихода наплаћених у претходној или ранијим годинама)</t>
  </si>
  <si>
    <t>Остали издаци (поврат/прекњижавање прихода наплаћених у претходној или ранијим годинама)</t>
  </si>
  <si>
    <t>Трансфери од ентитета  (поравнање јавних прихода по записницима Пореске управе)</t>
  </si>
  <si>
    <t>419000</t>
  </si>
  <si>
    <t>513000</t>
  </si>
  <si>
    <t>Трошкови обештећења по судским  пресудама и трошкови поступка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</si>
  <si>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</si>
  <si>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Камата на кредит од 7.000.000,00 КМ</t>
  </si>
  <si>
    <t>Отплата дуга по кредиту од 7.000,000,00 КМ</t>
  </si>
  <si>
    <t>714111-714311</t>
  </si>
  <si>
    <t>Трансфери од јединица локалнe самоуправe  (поравнање јавних прихода по записницима Пореске управе)</t>
  </si>
  <si>
    <t>ЈУ Центар за социјални рад Прњавор</t>
  </si>
  <si>
    <t>ЈУ Центар за културу Прњавор</t>
  </si>
  <si>
    <t>ЈУ Дјечији вртић "Наша радост" Прњавор</t>
  </si>
  <si>
    <t>ЈУ Народна библиотека Прњавор</t>
  </si>
  <si>
    <t>Неутрошена намјенска средства из ранијих година од накнада за коришћење шума - средстава за развој неразвијених дијелова општине остварених продајом шумских сортимената</t>
  </si>
  <si>
    <t>Табела бр. 1</t>
  </si>
  <si>
    <t>Функција</t>
  </si>
  <si>
    <t>ЗУ</t>
  </si>
  <si>
    <t>Заједничке услуге</t>
  </si>
  <si>
    <t>ИУ</t>
  </si>
  <si>
    <t>Индивидуалне услуге</t>
  </si>
  <si>
    <t>Табела бр. 2</t>
  </si>
  <si>
    <t>Грант КП,,Водовод" АД - набавка опреме</t>
  </si>
  <si>
    <t>Расходи по основу организације, пријема, манифестација и остали расходи</t>
  </si>
  <si>
    <t>Трансфери од фондова обавезног социјалног осигурања (поравнање јавних прихода по записницима Пореске управе)</t>
  </si>
  <si>
    <t>Неутрошене примљене донације из ранијег периода од Ватрогасног савеза Републике Српске за унапређење заштите од пожара</t>
  </si>
  <si>
    <t>Трансфер Фонду солидарности за дијагностику и лијечење обољења, стања и повреда дјеце у иностранству</t>
  </si>
  <si>
    <t>Расходи финансирања и други финансијски трошкови између јединица власти</t>
  </si>
  <si>
    <t>Издаци за отплату дугова из трансакција између или унутар јединица власти</t>
  </si>
  <si>
    <t>Издаци за отплату главнице зајмова примљених од других јединица власти</t>
  </si>
  <si>
    <t>Расходи по основу камата на зајмове примљене од других јединица власти</t>
  </si>
  <si>
    <t>Издаци за отплату дугова према другим јединицама власти</t>
  </si>
  <si>
    <t>Примици од задуживања</t>
  </si>
  <si>
    <t xml:space="preserve">Издаци за отплату дугова </t>
  </si>
  <si>
    <t>Трошкови одржавања локалне путне мреже (набавка, превоз и уградња посипног материјала, гредер)</t>
  </si>
  <si>
    <t>0412</t>
  </si>
  <si>
    <t>Средства за студентске награде - посебни резултати током школовања</t>
  </si>
  <si>
    <t>170-03 План капиталних улагања</t>
  </si>
  <si>
    <t>Укупни расходи за потрошачку
 јединицу бр.  00750241</t>
  </si>
  <si>
    <t>Накнаде за воде - посебне водне накнаде 
(722442-722448, 722457, 722463, 722464, 722465, 722469)</t>
  </si>
  <si>
    <t>Расходи за накнаду плата запослених за вријеме боловања, родитељског одсуства и осталих накнада плата</t>
  </si>
  <si>
    <t>Расходи финансирања, други финансијски трошкови и расходи трансакција размјене између јединица власти</t>
  </si>
  <si>
    <t>Расходи из трансакције размјене између јединица власти</t>
  </si>
  <si>
    <t>1020</t>
  </si>
  <si>
    <t>Грантови из иностранства</t>
  </si>
  <si>
    <t>Трансфер Министарства просвјете и културе РС Дјечијем вртићу "Наша радост" за програм припреме дјеце за полазак у школу</t>
  </si>
  <si>
    <t>Накнаде за личну инвалиднину из средстава Министарства здравља и социјалне заштите</t>
  </si>
  <si>
    <t>Субвенције за легализацију бесправно изграђених објеката</t>
  </si>
  <si>
    <t>Расходи по основу закупа - пројекат "Наша продавница"</t>
  </si>
  <si>
    <t>Расходи за бруто накнаде члановима управног одбора</t>
  </si>
  <si>
    <t>Средства за реализацију акционог плана за равноправност полова</t>
  </si>
  <si>
    <t>И) РАСПОДЈЕЛА СУФИЦИТА ИЗ РАНИЈЕГ ПЕРИОДА</t>
  </si>
  <si>
    <t>Г) РАСПОДЈЕЛА СУФИЦИТА ИЗ РАНИЈЕГ ПЕРИОДА</t>
  </si>
  <si>
    <t>Издаци по основу аванса</t>
  </si>
  <si>
    <t>3</t>
  </si>
  <si>
    <t>Акцизе</t>
  </si>
  <si>
    <t>Порези на промет производа</t>
  </si>
  <si>
    <t>Порези на промет услуга</t>
  </si>
  <si>
    <t>Трансфер Министарства здравља и социјалне заштите РС Центру за социјални рад за накнаде за личну инвалиднину</t>
  </si>
  <si>
    <t>Акциони план за имплементацију стратегије за инклузију Рома</t>
  </si>
  <si>
    <t>Подка-
тегорија</t>
  </si>
  <si>
    <t>Изједначавање могућности дјеце и омладине са сметњама у развоју из средстава Министарства здравља и социјалне заштите</t>
  </si>
  <si>
    <t>Средства за имплементацију пројекта "Омладинска банка"</t>
  </si>
  <si>
    <t>Укупни расходи за потрошачку
 јединицу бр.  00750126</t>
  </si>
  <si>
    <t>Средства за трошкове обиљежавања значајних датума (за трошкове вијенаца, цвијећа, свијећа и др.)</t>
  </si>
  <si>
    <t>Средства за боравак лица у локалном карантину</t>
  </si>
  <si>
    <t>Трошкови непотпуне експропријације, процјене, вјештачења, накнаде штета и слично</t>
  </si>
  <si>
    <t>Субвенције закупнине стамбених јединица социјалног становања</t>
  </si>
  <si>
    <t>Једнократна новчана помоћ комуналним полицајцима из средстава Фонда солидарности за обнову РС</t>
  </si>
  <si>
    <t>Буџет за 
2021. годину</t>
  </si>
  <si>
    <t>Трошкови провођења избора за чланове Савјета мјесних заједница</t>
  </si>
  <si>
    <t>Помоћ сеоским водоводима из намјенских средстава за воде</t>
  </si>
  <si>
    <t>Сервисни трошкови школовања дјеце са сметњама у развоју</t>
  </si>
  <si>
    <t>Сервисни трошкови школовања дјеце са сметњама у развоју - смјештај у хранитељску породицу</t>
  </si>
  <si>
    <t>Трошкови сервисирања зајмова примљених у земљи</t>
  </si>
  <si>
    <t>Неутрошена намјенска средства од посебних накнада за шуме из ранијих година</t>
  </si>
  <si>
    <t>Трансфери унутар исте јединице власти</t>
  </si>
  <si>
    <t>717111-717112</t>
  </si>
  <si>
    <r>
      <t xml:space="preserve">Трошкови репрезентације-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</si>
  <si>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Црвеног крста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</si>
  <si>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подстицај и развој спорта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</si>
  <si>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</si>
  <si>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Кола српских сестара Прњавор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</si>
  <si>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националних мањина - </t>
    </r>
    <r>
      <rPr>
        <b/>
        <sz val="10"/>
        <rFont val="Times New Roman"/>
        <family val="1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</si>
  <si>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</si>
  <si>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пројекат "Дневни центар за дјецу и омладину ометену у физичком и психичком развоју" Прњавор - </t>
    </r>
    <r>
      <rPr>
        <b/>
        <sz val="10"/>
        <rFont val="Times New Roman"/>
        <family val="1"/>
      </rPr>
      <t>буџетска резерва</t>
    </r>
  </si>
  <si>
    <r>
      <t xml:space="preserve">Помоћ основним школама - </t>
    </r>
    <r>
      <rPr>
        <b/>
        <sz val="10"/>
        <rFont val="Times New Roman"/>
        <family val="1"/>
      </rPr>
      <t>буџетска резерва</t>
    </r>
  </si>
  <si>
    <r>
      <t>Трошкови провизије за електронску наплату паркинга 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преноса података видео надзора</t>
    </r>
  </si>
  <si>
    <r>
      <t xml:space="preserve">Борачка организација општине Прњавор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</si>
  <si>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остале трошкове обиљежавања значајних датума (за трошкове вијенаца, цвијећа, свијећа и др.) - </t>
    </r>
    <r>
      <rPr>
        <b/>
        <sz val="10"/>
        <rFont val="Times New Roman"/>
        <family val="1"/>
      </rPr>
      <t>буџетска резерва</t>
    </r>
  </si>
  <si>
    <r>
      <t xml:space="preserve">Расходи за стручне услуге (извршење рјешења,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мониторинг загађујућих материја у животној средини)</t>
    </r>
  </si>
  <si>
    <r>
      <t>Смјештај штићеника у установе социјалне заштите</t>
    </r>
    <r>
      <rPr>
        <sz val="10"/>
        <color indexed="10"/>
        <rFont val="Times New Roman"/>
        <family val="1"/>
      </rPr>
      <t xml:space="preserve"> - </t>
    </r>
    <r>
      <rPr>
        <sz val="10"/>
        <rFont val="Times New Roman"/>
        <family val="1"/>
      </rPr>
      <t>буџетске кориснике</t>
    </r>
  </si>
  <si>
    <r>
      <t xml:space="preserve">Набавка опреме - </t>
    </r>
    <r>
      <rPr>
        <b/>
        <sz val="10"/>
        <rFont val="Times New Roman"/>
        <family val="1"/>
      </rPr>
      <t>буџетска резерва</t>
    </r>
  </si>
  <si>
    <t>Утрошак намјенских средстава за финансирање посебних мјера заштите од пожара</t>
  </si>
  <si>
    <t xml:space="preserve">%
 учешћа </t>
  </si>
  <si>
    <t>Омладински центар Прњавор</t>
  </si>
  <si>
    <t>Накнаде члановима комисија</t>
  </si>
  <si>
    <t>Трошкови првостепених стручних комисија</t>
  </si>
  <si>
    <t>Финансирање "Родитељске куће"</t>
  </si>
  <si>
    <t>1011</t>
  </si>
  <si>
    <t>Остали комунални послови по наруџби (саднице,  канали, уређење и одржавање  зелених површина и спортских терена, објекти на путу, чишћење сливника, одржавање јавних извора и др.)</t>
  </si>
  <si>
    <t>Зимско одржавање локалних путева, улица, тротоара, тргова и др.</t>
  </si>
  <si>
    <t>Капиталне инвестиције из кредитних средстава</t>
  </si>
  <si>
    <t>Укупни расходи за потрошачку
 јединицу бр.  00750700</t>
  </si>
  <si>
    <t>Расходи за закуп зграда, објеката и превозних средстава</t>
  </si>
  <si>
    <t>Расходи за бруто накнаде ван радног времена</t>
  </si>
  <si>
    <t>418000</t>
  </si>
  <si>
    <t>Расходу финансирања, други финансијски трошкови  и расходи трансакција размјене измеђуу или унутар јединица власти</t>
  </si>
  <si>
    <t>Издаци за произведену  сталну имовину</t>
  </si>
  <si>
    <t>Издаци за залихе материјала,  робе и ситног инвентара,
амбалаже и сл.</t>
  </si>
  <si>
    <t>511000</t>
  </si>
  <si>
    <t>Издаци за нематеријалну произведену имовину</t>
  </si>
  <si>
    <t>Издаци за набавку лиценци</t>
  </si>
  <si>
    <t>516000</t>
  </si>
  <si>
    <t>631000</t>
  </si>
  <si>
    <t>638000</t>
  </si>
  <si>
    <t>Издаци по основу пореза на додату вриједност</t>
  </si>
  <si>
    <t>Остали издаци из трансакција између или унутар 
јединице власти</t>
  </si>
  <si>
    <t>Издаци за накнаде плата за породиљско боловање и остала боловања 
које се рефундира</t>
  </si>
  <si>
    <t>Расходи за накнаду плата запослених за вријеме боловања
који се не рефундирају (бруто)</t>
  </si>
  <si>
    <t>Приходи од партиципације</t>
  </si>
  <si>
    <t>Приходи од неосигураних лица</t>
  </si>
  <si>
    <t>Приходи од осталих здравствених услуга</t>
  </si>
  <si>
    <t>Приходи по основу пружања амбулантних услуга</t>
  </si>
  <si>
    <t>Приходи по основу израде медецинских средстава</t>
  </si>
  <si>
    <t>Приходи по основу услуга иноосигураницима-конвенција</t>
  </si>
  <si>
    <t>Приходи по основу санитетског превоза</t>
  </si>
  <si>
    <t>Приходи по основу осталих здравствених услуга здравствене заштите</t>
  </si>
  <si>
    <t>Приходи по основу пружања услуга  дијализе</t>
  </si>
  <si>
    <t>Приходи по основу консултативно- специјалистичке здравствене заштите</t>
  </si>
  <si>
    <t xml:space="preserve">Приходи од финансијске и нефинансијске имовине и трансакција размјене унутар исте јединице власти </t>
  </si>
  <si>
    <r>
      <t xml:space="preserve">Приходи од  закупа  пословних простора - </t>
    </r>
    <r>
      <rPr>
        <b/>
        <sz val="10"/>
        <rFont val="Times New Roman"/>
        <family val="1"/>
      </rPr>
      <t>ЈЗУ Дом здравља</t>
    </r>
  </si>
  <si>
    <t>Расходи по основу закупа из трансакција унутар исте јединице власти</t>
  </si>
  <si>
    <t>Расходи по основу утрошка гријања, електричне енергије, воде и канализације унутар исте јединице власти</t>
  </si>
  <si>
    <t>Расходи из трансакција размјене унутар исте јединице власти</t>
  </si>
  <si>
    <t xml:space="preserve">Комунална такса за коришћење простора за паркирање моторних, друмских и прикључних возила </t>
  </si>
  <si>
    <t>Подршка систему прихвата и интеграције држављана БиХ који се враћају по основу Споразума о реадмисији</t>
  </si>
  <si>
    <t>1070</t>
  </si>
  <si>
    <t>Приходи од пружања јавних услуга (А+Б+В)</t>
  </si>
  <si>
    <r>
      <t xml:space="preserve">Примици од наплате осталих зајмова датих радницима - </t>
    </r>
    <r>
      <rPr>
        <b/>
        <sz val="10"/>
        <rFont val="Times New Roman"/>
        <family val="1"/>
      </rPr>
      <t>ЈЗУ Дом здравља</t>
    </r>
  </si>
  <si>
    <r>
      <t>Примици по основу пореза на додату вриједност -</t>
    </r>
    <r>
      <rPr>
        <b/>
        <sz val="10"/>
        <rFont val="Times New Roman"/>
        <family val="1"/>
      </rPr>
      <t xml:space="preserve"> ЈЗУ Дом здравља</t>
    </r>
  </si>
  <si>
    <r>
      <t xml:space="preserve">Примици за накнаде плата за породиљско одсуство и за вријеме боловања који се рефундирају од фондова обавезног социјалног осигурања - </t>
    </r>
    <r>
      <rPr>
        <b/>
        <sz val="10"/>
        <rFont val="Times New Roman"/>
        <family val="1"/>
      </rPr>
      <t>ЈЗУ Дом здравља</t>
    </r>
  </si>
  <si>
    <r>
      <t>Издаци по основу пореза на додату вриједност -</t>
    </r>
    <r>
      <rPr>
        <b/>
        <sz val="11"/>
        <rFont val="Times New Roman"/>
        <family val="1"/>
      </rPr>
      <t xml:space="preserve"> ЈЗУ Дом здравља</t>
    </r>
  </si>
  <si>
    <t>Трошкови чишћења улица, тротоара и зелeних површина, трошкови прања улица и тротоара, кошења зелених површина, шишања живих ограда  и ванредни комунални послови по наруџби (сјечење растиња, одржавање дрвореда и сл.)</t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</si>
  <si>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Дјечији вртић " Наша радост" Прњавор
Број: 00750400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</si>
  <si>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</si>
  <si>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пољопривреду, водопривреду и шумарство
Број: 00750250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</si>
  <si>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Одсјек за јавне  набавке, правна питања и прописе
Број: 00750241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</si>
  <si>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заједничке послове
Број: 00750240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</si>
  <si>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инспекцијске послове</t>
    </r>
    <r>
      <rPr>
        <sz val="11"/>
        <rFont val="Times New Roman"/>
        <family val="1"/>
      </rPr>
      <t xml:space="preserve">
 </t>
    </r>
    <r>
      <rPr>
        <b/>
        <sz val="11"/>
        <rFont val="Times New Roman"/>
        <family val="1"/>
      </rPr>
      <t xml:space="preserve">  Број: 00750220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</si>
  <si>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борачко-инвалидску заштиту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00750180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</si>
  <si>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стамбено- комуналне послове и инвестиције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00750170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</si>
  <si>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просторно уређење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00750160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</si>
  <si>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локални економски развој и друштвене дјелатности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00750150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</si>
  <si>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финансије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</si>
  <si>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општу управу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00750130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</si>
  <si>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цивилну заштиту
Број: 00750126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</si>
  <si>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Гимназија Прњавор
Број: 08150026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</si>
  <si>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средњих школа "Иво Андрић" Прњавор
Број: 08150027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</si>
  <si>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за културу Прњавор
Број: 08180011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</si>
  <si>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ЈУ Народна библиотека Прњавор
Број: 08180068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</si>
  <si>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Музичка школа "Константин Бабић " Прњавор
Број: 08400005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</si>
  <si>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Остала буџетска потрошња 
Број:  00750190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</si>
  <si>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Трезор општине Прњавор број:  9999999</t>
    </r>
  </si>
  <si>
    <r>
      <t xml:space="preserve">Б) </t>
    </r>
    <r>
      <rPr>
        <b/>
        <sz val="10"/>
        <rFont val="Times New Roman"/>
        <family val="1"/>
      </rPr>
      <t>Приходи од пружања јавних услуга</t>
    </r>
    <r>
      <rPr>
        <b/>
        <i/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>ЈУ Дом здравља Прњавор</t>
    </r>
  </si>
  <si>
    <t>В) Приходи од пружања јавних услуга - Остали буџетски корисници</t>
  </si>
  <si>
    <r>
      <t xml:space="preserve">Приходи од закупа унутар исте јединице власти - </t>
    </r>
    <r>
      <rPr>
        <b/>
        <sz val="10"/>
        <rFont val="Times New Roman"/>
        <family val="1"/>
      </rPr>
      <t>ЈЗУ Дом здравља</t>
    </r>
  </si>
  <si>
    <r>
      <t xml:space="preserve">Приходи из трансакција размјене унутар исте јединице власти - </t>
    </r>
    <r>
      <rPr>
        <b/>
        <sz val="10"/>
        <rFont val="Times New Roman"/>
        <family val="1"/>
      </rPr>
      <t>ЈЗУ Дом здравља</t>
    </r>
  </si>
  <si>
    <r>
      <t>Набавка опреме</t>
    </r>
    <r>
      <rPr>
        <b/>
        <sz val="10"/>
        <color indexed="10"/>
        <rFont val="Times New Roman"/>
        <family val="1"/>
      </rPr>
      <t xml:space="preserve"> </t>
    </r>
  </si>
  <si>
    <t>Приходи од комерцијалних здравствених услуга</t>
  </si>
  <si>
    <t>Једнократне помоћи за свако рођено дијете</t>
  </si>
  <si>
    <t>Средства за пројекат "Старење и здравље"</t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</si>
  <si>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ЈЗУ Дом здравља Прњавор
Број: 00750700</t>
    </r>
  </si>
  <si>
    <t>Изградња водоводне мреже у МЗ Поточани</t>
  </si>
  <si>
    <t>Израда пројекта и почетак радова на водоснабдијевању МЗ Кремна, Кулаши и Попвићи</t>
  </si>
  <si>
    <t>Израда пројеката за водоводе мјесних заједница: Доњи Гаљиповци, Чорле, Насеобина Лишња, Бабановци, Хрваћани, Просјек, Мрачај-Отпочиваљка и Орашје-Ново Село</t>
  </si>
  <si>
    <r>
      <t xml:space="preserve">Трошкови интеркаларне камате на примљени зајам </t>
    </r>
    <r>
      <rPr>
        <b/>
        <sz val="10"/>
        <rFont val="Times New Roman"/>
        <family val="1"/>
      </rPr>
      <t>(5 мил.  КМ)</t>
    </r>
  </si>
  <si>
    <t>Помоћ у реализацији пројеката заједница етажних власника</t>
  </si>
  <si>
    <t xml:space="preserve">Субвенционисање набавке уџбеника за ученике основних школа </t>
  </si>
  <si>
    <t>Трошкови одржавања јавне расвјете (у граду и мјесним заједницама)</t>
  </si>
  <si>
    <t>Помоћ младима кроз старт-уп предузетништво</t>
  </si>
  <si>
    <r>
      <t xml:space="preserve">Назив и број потрошачке јединице:
</t>
    </r>
    <r>
      <rPr>
        <b/>
        <sz val="11"/>
        <rFont val="Times New Roman"/>
        <family val="1"/>
      </rPr>
      <t xml:space="preserve">Територијална ватрогасно-спасилачка јединица Прњавор
Број: 00750125 </t>
    </r>
  </si>
  <si>
    <t>0721</t>
  </si>
  <si>
    <r>
      <t>Једнократне новчане помоћи појединцима -</t>
    </r>
    <r>
      <rPr>
        <b/>
        <sz val="10"/>
        <rFont val="Times New Roman"/>
        <family val="1"/>
      </rPr>
      <t xml:space="preserve"> буџетска резерва</t>
    </r>
  </si>
  <si>
    <r>
      <t>Остали непоменути расходи -</t>
    </r>
    <r>
      <rPr>
        <b/>
        <sz val="10"/>
        <rFont val="Times New Roman"/>
        <family val="1"/>
      </rPr>
      <t xml:space="preserve"> буџетска резерва</t>
    </r>
  </si>
  <si>
    <r>
      <t xml:space="preserve">Остали непоменути расходи - </t>
    </r>
    <r>
      <rPr>
        <b/>
        <sz val="10"/>
        <rFont val="Times New Roman"/>
        <family val="1"/>
      </rPr>
      <t>буџетска резерва</t>
    </r>
  </si>
  <si>
    <t>Текући грант појединцима - Средства за помоћ у лијечењу дјеце и младих обољелих од дијабетеса</t>
  </si>
  <si>
    <t>Расходи за таксе и накнаде за регистрацију</t>
  </si>
  <si>
    <t>Расходи из трансакције размјене унутар исте јединице власти</t>
  </si>
  <si>
    <t>Остали некласификовани расходи из трансакција унутар исте јединице власти</t>
  </si>
  <si>
    <t>Помоћ појединцима</t>
  </si>
  <si>
    <t>Трансфер Министарства просвјете и културе РС Центру средњих школа "Иво Андрић" за стипендије и превоз ученика дефицитарних занимања</t>
  </si>
  <si>
    <t>Примици од продаје сталне имовине намијењене продаји из обустављених пословања</t>
  </si>
  <si>
    <t>Примици од продаје сталне имовине  из обустављених пословања</t>
  </si>
  <si>
    <t>0510</t>
  </si>
  <si>
    <t>Набавка возила за одвоз комуналног отпада</t>
  </si>
  <si>
    <t>Средства за постдипломце и докторанте</t>
  </si>
  <si>
    <t>0942</t>
  </si>
  <si>
    <r>
      <t xml:space="preserve">Трошкови обиљежавања значајних датума у мјесним заједницама - </t>
    </r>
    <r>
      <rPr>
        <b/>
        <sz val="10"/>
        <rFont val="Times New Roman"/>
        <family val="1"/>
      </rPr>
      <t>буџетска резерва</t>
    </r>
  </si>
  <si>
    <t>Буџет за
 2023. г.</t>
  </si>
  <si>
    <t>Буџет 
за 2023. г.</t>
  </si>
  <si>
    <t xml:space="preserve"> Буџет за
 2023.г.</t>
  </si>
  <si>
    <t xml:space="preserve"> Буџет 
за 2023. г.</t>
  </si>
  <si>
    <t xml:space="preserve"> Буџет за 
2023. г.</t>
  </si>
  <si>
    <t xml:space="preserve"> Буџет за 2023.г.</t>
  </si>
  <si>
    <r>
      <t xml:space="preserve">Камата на кредит од </t>
    </r>
    <r>
      <rPr>
        <sz val="10"/>
        <rFont val="Times New Roman"/>
        <family val="1"/>
      </rPr>
      <t>5.000.000,00 КМ</t>
    </r>
  </si>
  <si>
    <r>
      <t>Отплата дуга по кредиту од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5.000.000,00 КМ</t>
    </r>
  </si>
  <si>
    <t>Расходи за бруто накнаде трошкова и осталих личних примања 
запослених по основу рада</t>
  </si>
  <si>
    <t>Расходи по основу утрошка енергије, комуналних, комуникационих и 
транспортних услуга</t>
  </si>
  <si>
    <t>Расходи текућег одржавања</t>
  </si>
  <si>
    <t>Остали некласификовани расходи (стручно усавршавање запослених, 
организације пријема и слава, порези, доприноси и непореске накнаде на терет послодавца)</t>
  </si>
  <si>
    <t>Остали некласификовани расходи из трансакција са другим јединицама власти</t>
  </si>
  <si>
    <t>Удружење родитеља са четворо и више дјеце</t>
  </si>
  <si>
    <r>
      <t>Програм здравствене заштите становништа</t>
    </r>
    <r>
      <rPr>
        <sz val="10"/>
        <rFont val="Times New Roman"/>
        <family val="1"/>
      </rPr>
      <t xml:space="preserve"> (трансакције размјене унутар исте јединице власти)</t>
    </r>
  </si>
  <si>
    <t>Издаци за изградњу азила за псе</t>
  </si>
  <si>
    <t>Остали непоменути расходи - извршење рјешења за уклањање објекта</t>
  </si>
  <si>
    <t>Субвенције избјеглим и расељеним лицима у поступку уписивања права својине на изграђеном земљишту</t>
  </si>
  <si>
    <r>
      <t>Удружење СУБНОР-а-</t>
    </r>
    <r>
      <rPr>
        <b/>
        <sz val="10"/>
        <rFont val="Times New Roman"/>
        <family val="1"/>
      </rPr>
      <t>буџетска резерва</t>
    </r>
  </si>
  <si>
    <t>Изградња и реконструкција објеката водоснабдијевања (базени, цјевоводи, изворишта, чесме и др.) из намјенских ср. за воде - "MEG PROJEKAT"</t>
  </si>
  <si>
    <t>Изградња централног споменика и спомен обиљежја</t>
  </si>
  <si>
    <t>ТАБЕЛА 2. РЕБАЛАНС БУЏЕТА ГРАДА ПРЊАВОРА ЗА 2023. ГОДИНУ
-БУЏЕТСКИ ПРИХОДИ И ПРИМИЦИ ЗА НЕФИНАНСИЈСКУ ИМОВИНУ</t>
  </si>
  <si>
    <t>Ребаланс буџета 
за 2023. г.</t>
  </si>
  <si>
    <t>5(6-4)</t>
  </si>
  <si>
    <t>7(6/4*100)</t>
  </si>
  <si>
    <t>Разлика</t>
  </si>
  <si>
    <t>ТАБЕЛА 1. РЕБАЛАНС БУЏЕТА ГРАДА ПРЊАВОР ЗА 2023. ГОДИНУ
- ОПШТИ ДИО</t>
  </si>
  <si>
    <t>4(5-3)</t>
  </si>
  <si>
    <t>6(5/3*100)</t>
  </si>
  <si>
    <t>Ребаланс буџета за
 2023. г.</t>
  </si>
  <si>
    <t xml:space="preserve"> ТАБЕЛА 5.  РЕБАЛАНС БУЏЕТА ГРАДА ПРЊАВОРА ЗА 2023. ГОДИНУ
 - ОРГАНИЗАЦИОНА КЛАСИФИКАЦИЈА                                                                                                                                                                                    </t>
  </si>
  <si>
    <t>6(7-5)</t>
  </si>
  <si>
    <t>8(7/5*100)</t>
  </si>
  <si>
    <t xml:space="preserve">  ТАБЕЛА 3.  РЕБАЛАНС БУЏЕТА ГРАДА ПРЊАВОР ЗА 2023. ГОДИНУ
-БУЏЕТСКИ РАСХОДИ И ИЗДАЦИ ЗА НЕФИНАНСИЈСКУ ИМОВИНУ        </t>
  </si>
  <si>
    <t>Ребаланс буџет за
 2023.г.</t>
  </si>
  <si>
    <t xml:space="preserve">  ТАБЕЛА 6.   РЕБАЛАНС БУЏЕТА ГРАДА ПРЊАВОРА ЗА 2023. ГОДИНУ
- ФУНКЦИОНАЛНА КЛАСИФИКАЦИЈА </t>
  </si>
  <si>
    <t>5</t>
  </si>
  <si>
    <t xml:space="preserve"> Ребаланс буџета за 2023.г.</t>
  </si>
  <si>
    <t xml:space="preserve">
РЕБАЛАНС 
БУЏЕТА ГРАДА ПРЊАВОР 
ЗА 2023. ГОДИНУ </t>
  </si>
  <si>
    <t>ТАБЕЛА 4. РЕБАЛАНС БУЏЕТА ГРАДА ПРЊАВОР ЗА 2023. ГОДИНУ
- ФИНАНСИРАЊЕ</t>
  </si>
  <si>
    <r>
      <t xml:space="preserve">Назив и број потрошачке јединице:
</t>
    </r>
    <r>
      <rPr>
        <b/>
        <sz val="11"/>
        <rFont val="Times New Roman"/>
        <family val="1"/>
      </rPr>
      <t>Скупштина града и Стручна служба Скупштине града
Број: 00750110</t>
    </r>
  </si>
  <si>
    <t>Плакете, повеље, награде и признања града</t>
  </si>
  <si>
    <t>Финансирање Градске изборне комисије</t>
  </si>
  <si>
    <r>
      <t xml:space="preserve">Назив и број потрошачке јединице:
</t>
    </r>
    <r>
      <rPr>
        <b/>
        <sz val="11"/>
        <rFont val="Times New Roman"/>
        <family val="1"/>
      </rPr>
      <t>Кабинет градоначелника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00750120</t>
    </r>
  </si>
  <si>
    <t>Плакете, повеље, награде и признања градоначелника</t>
  </si>
  <si>
    <r>
      <t xml:space="preserve">Плакете, повеље, награде и признања градоначелника - </t>
    </r>
    <r>
      <rPr>
        <b/>
        <sz val="10"/>
        <rFont val="Times New Roman"/>
        <family val="1"/>
      </rPr>
      <t>буџетска резерва</t>
    </r>
  </si>
  <si>
    <t xml:space="preserve">Грантови добровољним ватрогасним друштвима Града Прњавор </t>
  </si>
  <si>
    <r>
      <t xml:space="preserve">Грантови у земљи - </t>
    </r>
    <r>
      <rPr>
        <b/>
        <sz val="10"/>
        <rFont val="Times New Roman"/>
        <family val="1"/>
      </rPr>
      <t>буџетска резерва</t>
    </r>
  </si>
  <si>
    <r>
      <t xml:space="preserve">Санација и асвалтирање локалних путева у МЗ Лишња - </t>
    </r>
    <r>
      <rPr>
        <b/>
        <sz val="10"/>
        <rFont val="Times New Roman"/>
        <family val="1"/>
      </rPr>
      <t>из средстава Удружења грађана "Лишња у срцу"</t>
    </r>
  </si>
  <si>
    <t>Текуће одржавање путева на неразвијеним дијеловима града</t>
  </si>
  <si>
    <t>Изградња и реконструкција инфраструктуре и других објеката на неразвијеним дијеловима града</t>
  </si>
  <si>
    <t xml:space="preserve">Остали непоменути расходи - </t>
  </si>
  <si>
    <t>Расходи поводом манифестација за празничне  дане града</t>
  </si>
  <si>
    <r>
      <t xml:space="preserve">Инвестиционо  одржавање, реконструкција и адаптација зграда и објеката
- </t>
    </r>
    <r>
      <rPr>
        <b/>
        <sz val="10"/>
        <rFont val="Times New Roman"/>
        <family val="1"/>
      </rPr>
      <t>из  средстава Кабинета пресједника РС одобрених за "Санацију санитарних чворова"</t>
    </r>
  </si>
  <si>
    <t>Реконструкција старе зграде Градске управе и зграде Војног одсјека - Завичајног музеја Прњавор</t>
  </si>
  <si>
    <t>Пренесена неутрошена средства Владе РС из 2022.г за Пројекат "Реконструкција локалних путева и градских улица на подручју општине Прњавор из средстава Владе РС" (Програм јавних инвестиција РС за 2022. годину ("Службени гласник Републике Српске", број 84/22))</t>
  </si>
  <si>
    <t>Пренесена неутрошена средства Владе РС за Пројекат "Санација четири клизишта на локалном путу Кокори - Чивчије - Бранешци из средстава Владе РС (Програм јавних инвестиција РС за 2022. годину ("Службени гласник Републике Српске", број 60/22))</t>
  </si>
  <si>
    <t>Пренесена неутрошена средства Владе РС из 2022.г. за Пројекат "Суфинансирање реконструкције локалног пута Горњи Вијачани - Сабањска ријека из средстава Владе РС (Програм јавних инвестиција РС за 2022. годину ("Службени гласник Републике Српске, број 73/22))</t>
  </si>
  <si>
    <t>Грант Удружења грађана "Лишња у срцу" за санацију и асвалтирање локалних путева у МЗ Лишња</t>
  </si>
  <si>
    <t>Трансфер Предсједника РС  ЈУ ЦСШ "Иво Андрић" за санацију санитарних чворова</t>
  </si>
  <si>
    <t>Грант Удружења грађана "Агенција за развој предузећа - Еда" ЈУ ЦСШ "Иво Андрић" за рализацију Пројекта "Оспособљавање одраслих за оператера на ЦНЦ машинама за обраду дрвета</t>
  </si>
  <si>
    <t>Грант Савјета Европе  Ромској заједници за Пројекат "Промовисање доброг управљања и оснаживање Рома на локалном нивоу"</t>
  </si>
  <si>
    <r>
      <t xml:space="preserve">Реализација Пројекта "Промовисање доброг управљања и оснаживање Рома на локалном нивоу - </t>
    </r>
    <r>
      <rPr>
        <b/>
        <sz val="10"/>
        <rFont val="Times New Roman"/>
        <family val="1"/>
      </rPr>
      <t xml:space="preserve">из гранта Савјета Европе Ромској заједници </t>
    </r>
  </si>
  <si>
    <r>
      <t xml:space="preserve">Санација четири клизишта на локалном путу Кокори - Чивчије - Бранешци из средстава Владе РС (Програм јавних инвестиција РС за 2022. годину ("Службени гласник Републике Српске", број 60/22) </t>
    </r>
    <r>
      <rPr>
        <b/>
        <sz val="10"/>
        <rFont val="Times New Roman"/>
        <family val="1"/>
      </rPr>
      <t>- из пренесених неутрошених средстава из 2022.г.</t>
    </r>
  </si>
  <si>
    <r>
      <t>Суфинансирање реконструкције локалног пута Горњи Вијачани - Сабањска ријека из средстава Владе РС (Програм јавних инвестиција РС за 2022. годину ("Службени гласник Републике Српске, број 73/22) -</t>
    </r>
    <r>
      <rPr>
        <b/>
        <sz val="10"/>
        <rFont val="Times New Roman"/>
        <family val="1"/>
      </rPr>
      <t xml:space="preserve"> из пренесених неутрошених средстава из 2022.г.</t>
    </r>
  </si>
  <si>
    <t>Трансфери унутар јединице власти</t>
  </si>
  <si>
    <t>Расходи за стручне услуге Градске управе</t>
  </si>
  <si>
    <t>Финансирање Градске организације слијепих  Прњавор</t>
  </si>
  <si>
    <r>
      <t>Финансирање Градске организације слијепих  Прњавор -</t>
    </r>
    <r>
      <rPr>
        <b/>
        <sz val="10"/>
        <rFont val="Times New Roman"/>
        <family val="1"/>
      </rPr>
      <t xml:space="preserve"> буџетска резерва</t>
    </r>
  </si>
  <si>
    <t xml:space="preserve">Средства за имплементацију и суфинансирање пројеката предвиђених Стратегијом развоја Града Прњавор 2022-2028. година </t>
  </si>
  <si>
    <t>Инвестиционо  одржавање, реконструкција и адаптација зграда и објеката  Градске управе</t>
  </si>
  <si>
    <r>
      <t xml:space="preserve">Реконструкција локалних путева и градских улица на подручју Града Прњавор из средстава Владе РС (Програм јавних инвестиција РС за 2022.г.-Сл.гл.РС, број 84/22) - </t>
    </r>
    <r>
      <rPr>
        <b/>
        <sz val="10"/>
        <rFont val="Times New Roman"/>
        <family val="1"/>
      </rPr>
      <t>из пренесених нетрошених средстава из  2022.г.</t>
    </r>
  </si>
  <si>
    <t>ГО породица заробљених и погинулих бораца и несталих цивила Прњавор</t>
  </si>
  <si>
    <r>
      <t>Остали непоменути расходи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припрема дјеце за полазак у школу из дозначене помоћи Министарства просвјете и културе РС</t>
    </r>
  </si>
  <si>
    <r>
      <t>Стипендије ученицима дефицитарних занимања -</t>
    </r>
    <r>
      <rPr>
        <sz val="10"/>
        <rFont val="Times New Roman"/>
        <family val="1"/>
      </rPr>
      <t xml:space="preserve"> из средстава
Министарства просвјете и културе</t>
    </r>
  </si>
  <si>
    <t>Расходи за лична примања запослених у Градској управи</t>
  </si>
  <si>
    <r>
      <t xml:space="preserve">Изградња водоводне мреже у </t>
    </r>
    <r>
      <rPr>
        <sz val="10"/>
        <rFont val="Times New Roman"/>
        <family val="1"/>
      </rPr>
      <t xml:space="preserve">МЗ Штрпци </t>
    </r>
  </si>
  <si>
    <t>Расходи по основу путовања и смјештаја запослених у Градској управи</t>
  </si>
  <si>
    <t>Расходи за стручно усавршавање запослених у Градској  управе</t>
  </si>
  <si>
    <t>Приходи од закупа  пословних простора - Градска управа</t>
  </si>
  <si>
    <t>Градске административне таксе</t>
  </si>
  <si>
    <t>722121-131</t>
  </si>
  <si>
    <t>Накнада за коришћење шума и шумског земљишта - средства за развој неразвијених дијелова града остварена продајом шумских сортимената</t>
  </si>
  <si>
    <t>Остали градски непорески приходи</t>
  </si>
  <si>
    <t>Трансфер Министарства рада и борачко-инвалидске заштите РС Центру Средњих школа, Гимназији и Музичкој школи за превоз ђака у Доњу Градину</t>
  </si>
  <si>
    <t>Дознаке на име социјалне заштите које се исплаћују из буџета  града</t>
  </si>
  <si>
    <t>Дознаке на име соц. заштите које се исплаћују из буџета  града</t>
  </si>
  <si>
    <r>
      <t>Остали непоменути расходи-</t>
    </r>
    <r>
      <rPr>
        <b/>
        <sz val="10"/>
        <rFont val="Times New Roman"/>
        <family val="1"/>
      </rPr>
      <t xml:space="preserve"> Израда социјалне карте</t>
    </r>
  </si>
  <si>
    <t>Грант правних и физичких лица ЈУ Дјечији вртић "Наша радост" за набавку материјала за посебне намјене</t>
  </si>
  <si>
    <t>Расходи за материјал за посебне намјене - из гранта правних и физичких лица за набавку материјала за посебне намјене</t>
  </si>
  <si>
    <t>Расходи  из трансакција размјене унутар исте јединице власти</t>
  </si>
  <si>
    <t>Накнаде одборника и чланова скупштинских комисија</t>
  </si>
  <si>
    <t>А) Приходи од пружања јавних услуга - Градских органа управе</t>
  </si>
  <si>
    <t>Приходи  градских органа управе</t>
  </si>
  <si>
    <t>Новчане казне изречене у прекршајном поступку за прекршаје прописане актом Скупштине града</t>
  </si>
  <si>
    <t>Субвенционисање трошкова комуналних  услуга социјално угроженим корисницима на подручју града Прњавор</t>
  </si>
  <si>
    <t>Борачка организација  Прњавор</t>
  </si>
  <si>
    <r>
      <t>Борачка организација   Прњавор -</t>
    </r>
    <r>
      <rPr>
        <b/>
        <sz val="10"/>
        <rFont val="Times New Roman"/>
        <family val="1"/>
      </rPr>
      <t>буџетска резерва</t>
    </r>
  </si>
  <si>
    <t>Удружење РВИ  Прњавор</t>
  </si>
  <si>
    <r>
      <t>Удружење РВИ  Прњавор-</t>
    </r>
    <r>
      <rPr>
        <b/>
        <sz val="10"/>
        <rFont val="Times New Roman"/>
        <family val="1"/>
      </rPr>
      <t>буџетска резерва</t>
    </r>
  </si>
  <si>
    <t>ГО дјеце погинулих бораца одбрамбено-отаџбинског рата 1991-1995 Прњавор</t>
  </si>
  <si>
    <r>
      <t>Расходи по основу утрошка енергије, комуналних, комуникационих и транспортних услуга -</t>
    </r>
    <r>
      <rPr>
        <b/>
        <sz val="10"/>
        <rFont val="Times New Roman"/>
        <family val="1"/>
      </rPr>
      <t xml:space="preserve"> из средстава Министарства рада и борачко-инвалидске заштите за превоз ђака у Доњу Градину</t>
    </r>
  </si>
  <si>
    <t>Грант УНДП/МЕГ за Пројекат "Водоснабдијевање дијела насеља Маћино брдо и Мјесне заједнице Бабановци"</t>
  </si>
  <si>
    <t>Примици од продаје моторног возила</t>
  </si>
  <si>
    <r>
      <t xml:space="preserve">Расходи по основу утрошка енергије, комуналних, комуникационих и транспортних услуга - </t>
    </r>
    <r>
      <rPr>
        <i/>
        <sz val="10"/>
        <rFont val="Times New Roman"/>
        <family val="1"/>
      </rPr>
      <t>из гранта Агенције "ЕДА за рализацију Пројекта "Оспособљавање одраслих за оператера на ЦНЦ машинама за обраду дрвета</t>
    </r>
  </si>
  <si>
    <r>
      <t>Расходи по основу утрошка енергије, комуналних, комуникационих и транспортних услуга -</t>
    </r>
    <r>
      <rPr>
        <i/>
        <sz val="10"/>
        <rFont val="Times New Roman"/>
        <family val="1"/>
      </rPr>
      <t xml:space="preserve"> из средстава Министарства рада и борачко-инвалидске заштите за превоз ђака у Доњу Градину</t>
    </r>
  </si>
  <si>
    <r>
      <t xml:space="preserve">Расходи за материјал за посебне намјене - </t>
    </r>
    <r>
      <rPr>
        <i/>
        <sz val="10"/>
        <rFont val="Times New Roman"/>
        <family val="1"/>
      </rPr>
      <t>из гранта Агенције "ЕДА за рализацију Пројекта "Оспособљавање одраслих за оператера на ЦНЦ машинама за обраду дрвета</t>
    </r>
  </si>
  <si>
    <r>
      <t xml:space="preserve">Расходи за текуће одржавање - </t>
    </r>
    <r>
      <rPr>
        <i/>
        <sz val="10"/>
        <rFont val="Times New Roman"/>
        <family val="1"/>
      </rPr>
      <t>из гранта Агенције "ЕДА за рализацију Пројекта "Оспособљавање одраслих за оператера на ЦНЦ машинама за обраду дрвета</t>
    </r>
  </si>
  <si>
    <t>ФК "Љубић" Прњавор - финансирање неизмирених обавеза из ранијег периода</t>
  </si>
  <si>
    <t>Удружење РВИ  Прњавор - Пројекат "Набавка пластеника за породице РВИ"</t>
  </si>
  <si>
    <r>
      <t xml:space="preserve">Изградња и реконструкција градских улица, путне и канализационе мреже - Пројекат "Промовисање доброг управљања и оснаживање Рома на локалном нивоу - </t>
    </r>
    <r>
      <rPr>
        <b/>
        <sz val="11"/>
        <rFont val="Times New Roman"/>
        <family val="1"/>
      </rPr>
      <t xml:space="preserve">из гранта Савјета Европе Ромској заједници </t>
    </r>
  </si>
  <si>
    <r>
      <t xml:space="preserve">Изградња водоводне мреже у МЗ Бабановци и дијела МЗ Маћино Брдо - </t>
    </r>
    <r>
      <rPr>
        <b/>
        <sz val="10"/>
        <rFont val="Times New Roman"/>
        <family val="1"/>
      </rPr>
      <t>из средстава УНДП/МЕГ</t>
    </r>
  </si>
  <si>
    <r>
      <t xml:space="preserve">Реконструкција локалног пута у МЗ Велика Илова на дионици Велика Илова - засеок Топићи - </t>
    </r>
    <r>
      <rPr>
        <b/>
        <sz val="10"/>
        <rFont val="Times New Roman"/>
        <family val="1"/>
      </rPr>
      <t>из средстава групе грађана МЗ Велика Илова</t>
    </r>
  </si>
  <si>
    <r>
      <t>Реконструкција улице Бранка Ћопића -</t>
    </r>
    <r>
      <rPr>
        <b/>
        <sz val="10"/>
        <rFont val="Times New Roman"/>
        <family val="1"/>
      </rPr>
      <t xml:space="preserve"> из средстава Министарства за људска права и избјеглице БиХ</t>
    </r>
  </si>
  <si>
    <t>Грант Удружења грађана МЗ Велика Илова за реконструкцију локалног пута у МЗ В.Илова на дионици Велика Илова-засеок Топићи</t>
  </si>
  <si>
    <t>Трансфер Министарства за људска права и избјеглице БиХ- за реконструкцију улице Бранка Ћопића</t>
  </si>
  <si>
    <r>
      <t>Грант КП "Парк" Прњавор -</t>
    </r>
    <r>
      <rPr>
        <b/>
        <sz val="10"/>
        <rFont val="Times New Roman"/>
        <family val="1"/>
      </rPr>
      <t>буџетска резерва</t>
    </r>
  </si>
  <si>
    <t>Ребаланс 
буџета за 
2023. г.</t>
  </si>
  <si>
    <t>Обавезе између јединица власти по основу записника Пореске управе РС о обрачуну и поравнању више и погрешно уплаћених ј. прихода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</si>
</sst>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\ _R_S_D_-;\-* #,##0\ _R_S_D_-;_-* &quot;-&quot;\ _R_S_D_-;_-@_-"/>
    <numFmt numFmtId="172" formatCode="_-* #,##0.00\ &quot;RSD&quot;_-;\-* #,##0.00\ &quot;RSD&quot;_-;_-* &quot;-&quot;??\ &quot;RSD&quot;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0.00000000"/>
    <numFmt numFmtId="188" formatCode="0.0"/>
    <numFmt numFmtId="189" formatCode="#,##0.00;[Red]#,##0.00"/>
    <numFmt numFmtId="190" formatCode="0.000000000"/>
    <numFmt numFmtId="191" formatCode="0.000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sz val="12"/>
      <name val="Times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2EEE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/>
    </border>
    <border>
      <left style="double"/>
      <right/>
      <top style="thin"/>
      <bottom>
        <color indexed="63"/>
      </bottom>
    </border>
    <border>
      <left/>
      <right style="thin"/>
      <top style="thin"/>
      <bottom/>
    </border>
    <border>
      <left style="double"/>
      <right/>
      <top>
        <color indexed="63"/>
      </top>
      <bottom>
        <color indexed="63"/>
      </bottom>
    </border>
    <border>
      <left/>
      <right style="thin"/>
      <top/>
      <bottom/>
    </border>
    <border>
      <left style="double"/>
      <right/>
      <top>
        <color indexed="63"/>
      </top>
      <bottom style="thin"/>
    </border>
    <border>
      <left/>
      <right style="thin"/>
      <top/>
      <bottom style="thin"/>
    </border>
    <border>
      <left style="double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/>
      <top style="thin"/>
      <bottom style="double"/>
    </border>
    <border>
      <left style="thin"/>
      <right style="thin"/>
      <top style="medium"/>
      <bottom>
        <color indexed="63"/>
      </bottom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0" fontId="13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12" fillId="33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13" borderId="11" xfId="0" applyFont="1" applyFill="1" applyBorder="1" applyAlignment="1">
      <alignment horizontal="left" vertical="center"/>
    </xf>
    <xf numFmtId="4" fontId="16" fillId="13" borderId="11" xfId="0" applyNumberFormat="1" applyFont="1" applyFill="1" applyBorder="1" applyAlignment="1">
      <alignment horizontal="right" vertical="center"/>
    </xf>
    <xf numFmtId="4" fontId="16" fillId="13" borderId="12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left" vertical="center"/>
    </xf>
    <xf numFmtId="4" fontId="16" fillId="34" borderId="11" xfId="0" applyNumberFormat="1" applyFont="1" applyFill="1" applyBorder="1" applyAlignment="1">
      <alignment horizontal="right" vertical="center"/>
    </xf>
    <xf numFmtId="4" fontId="16" fillId="35" borderId="11" xfId="0" applyNumberFormat="1" applyFont="1" applyFill="1" applyBorder="1" applyAlignment="1">
      <alignment horizontal="right" vertical="center"/>
    </xf>
    <xf numFmtId="4" fontId="16" fillId="34" borderId="12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4" fontId="16" fillId="36" borderId="11" xfId="0" applyNumberFormat="1" applyFont="1" applyFill="1" applyBorder="1" applyAlignment="1">
      <alignment horizontal="right" vertical="center"/>
    </xf>
    <xf numFmtId="4" fontId="16" fillId="37" borderId="11" xfId="0" applyNumberFormat="1" applyFont="1" applyFill="1" applyBorder="1" applyAlignment="1">
      <alignment horizontal="right" vertical="center"/>
    </xf>
    <xf numFmtId="4" fontId="16" fillId="37" borderId="13" xfId="0" applyNumberFormat="1" applyFont="1" applyFill="1" applyBorder="1" applyAlignment="1">
      <alignment horizontal="right" vertical="center"/>
    </xf>
    <xf numFmtId="4" fontId="16" fillId="37" borderId="12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/>
    </xf>
    <xf numFmtId="4" fontId="19" fillId="38" borderId="11" xfId="0" applyNumberFormat="1" applyFont="1" applyFill="1" applyBorder="1" applyAlignment="1">
      <alignment horizontal="right" vertical="center"/>
    </xf>
    <xf numFmtId="4" fontId="19" fillId="38" borderId="13" xfId="0" applyNumberFormat="1" applyFont="1" applyFill="1" applyBorder="1" applyAlignment="1">
      <alignment horizontal="right" vertical="center"/>
    </xf>
    <xf numFmtId="4" fontId="19" fillId="38" borderId="12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4" fontId="16" fillId="38" borderId="11" xfId="0" applyNumberFormat="1" applyFont="1" applyFill="1" applyBorder="1" applyAlignment="1">
      <alignment horizontal="right" vertical="center"/>
    </xf>
    <xf numFmtId="4" fontId="16" fillId="38" borderId="12" xfId="0" applyNumberFormat="1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 wrapText="1"/>
    </xf>
    <xf numFmtId="4" fontId="16" fillId="36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right" vertical="center"/>
    </xf>
    <xf numFmtId="0" fontId="16" fillId="34" borderId="11" xfId="0" applyFont="1" applyFill="1" applyBorder="1" applyAlignment="1">
      <alignment horizontal="left" vertical="center" wrapText="1"/>
    </xf>
    <xf numFmtId="0" fontId="16" fillId="13" borderId="11" xfId="0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6" fillId="13" borderId="14" xfId="0" applyFont="1" applyFill="1" applyBorder="1" applyAlignment="1">
      <alignment vertical="center" wrapText="1"/>
    </xf>
    <xf numFmtId="4" fontId="16" fillId="13" borderId="14" xfId="0" applyNumberFormat="1" applyFont="1" applyFill="1" applyBorder="1" applyAlignment="1">
      <alignment horizontal="right" vertical="center" wrapText="1"/>
    </xf>
    <xf numFmtId="4" fontId="16" fillId="13" borderId="14" xfId="0" applyNumberFormat="1" applyFont="1" applyFill="1" applyBorder="1" applyAlignment="1">
      <alignment horizontal="right" vertical="center"/>
    </xf>
    <xf numFmtId="4" fontId="16" fillId="13" borderId="15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>
      <alignment vertical="center" wrapText="1"/>
    </xf>
    <xf numFmtId="4" fontId="2" fillId="38" borderId="0" xfId="0" applyNumberFormat="1" applyFont="1" applyFill="1" applyBorder="1" applyAlignment="1">
      <alignment horizontal="right" vertical="center" wrapText="1"/>
    </xf>
    <xf numFmtId="4" fontId="17" fillId="38" borderId="0" xfId="0" applyNumberFormat="1" applyFont="1" applyFill="1" applyBorder="1" applyAlignment="1">
      <alignment horizontal="right" vertical="center"/>
    </xf>
    <xf numFmtId="4" fontId="19" fillId="38" borderId="11" xfId="0" applyNumberFormat="1" applyFont="1" applyFill="1" applyBorder="1" applyAlignment="1">
      <alignment horizontal="right" vertical="center"/>
    </xf>
    <xf numFmtId="0" fontId="19" fillId="38" borderId="10" xfId="0" applyFont="1" applyFill="1" applyBorder="1" applyAlignment="1">
      <alignment horizontal="right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4" fontId="24" fillId="39" borderId="22" xfId="0" applyNumberFormat="1" applyFont="1" applyFill="1" applyBorder="1" applyAlignment="1">
      <alignment horizontal="right" vertical="center"/>
    </xf>
    <xf numFmtId="4" fontId="24" fillId="39" borderId="23" xfId="0" applyNumberFormat="1" applyFont="1" applyFill="1" applyBorder="1" applyAlignment="1">
      <alignment horizontal="right" vertical="center"/>
    </xf>
    <xf numFmtId="4" fontId="19" fillId="39" borderId="24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 wrapText="1"/>
    </xf>
    <xf numFmtId="4" fontId="24" fillId="38" borderId="23" xfId="0" applyNumberFormat="1" applyFont="1" applyFill="1" applyBorder="1" applyAlignment="1">
      <alignment horizontal="right" vertical="center"/>
    </xf>
    <xf numFmtId="4" fontId="24" fillId="39" borderId="11" xfId="0" applyNumberFormat="1" applyFont="1" applyFill="1" applyBorder="1" applyAlignment="1">
      <alignment horizontal="right" vertical="center"/>
    </xf>
    <xf numFmtId="4" fontId="19" fillId="39" borderId="12" xfId="0" applyNumberFormat="1" applyFont="1" applyFill="1" applyBorder="1" applyAlignment="1">
      <alignment horizontal="right" vertical="center"/>
    </xf>
    <xf numFmtId="4" fontId="24" fillId="0" borderId="13" xfId="0" applyNumberFormat="1" applyFont="1" applyFill="1" applyBorder="1" applyAlignment="1">
      <alignment horizontal="right" vertical="center"/>
    </xf>
    <xf numFmtId="4" fontId="24" fillId="0" borderId="2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9" fillId="0" borderId="23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4" fontId="25" fillId="34" borderId="25" xfId="0" applyNumberFormat="1" applyFont="1" applyFill="1" applyBorder="1" applyAlignment="1">
      <alignment horizontal="right" vertical="center"/>
    </xf>
    <xf numFmtId="4" fontId="25" fillId="35" borderId="23" xfId="0" applyNumberFormat="1" applyFont="1" applyFill="1" applyBorder="1" applyAlignment="1">
      <alignment horizontal="right" vertical="center"/>
    </xf>
    <xf numFmtId="4" fontId="24" fillId="0" borderId="17" xfId="0" applyNumberFormat="1" applyFont="1" applyFill="1" applyBorder="1" applyAlignment="1">
      <alignment vertical="center"/>
    </xf>
    <xf numFmtId="4" fontId="24" fillId="0" borderId="18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vertical="center"/>
    </xf>
    <xf numFmtId="4" fontId="24" fillId="0" borderId="19" xfId="0" applyNumberFormat="1" applyFont="1" applyFill="1" applyBorder="1" applyAlignment="1">
      <alignment horizontal="right" vertical="center"/>
    </xf>
    <xf numFmtId="4" fontId="24" fillId="0" borderId="20" xfId="0" applyNumberFormat="1" applyFont="1" applyFill="1" applyBorder="1" applyAlignment="1">
      <alignment vertical="center"/>
    </xf>
    <xf numFmtId="4" fontId="24" fillId="0" borderId="21" xfId="0" applyNumberFormat="1" applyFont="1" applyFill="1" applyBorder="1" applyAlignment="1">
      <alignment horizontal="right" vertical="center"/>
    </xf>
    <xf numFmtId="4" fontId="24" fillId="0" borderId="22" xfId="0" applyNumberFormat="1" applyFont="1" applyFill="1" applyBorder="1" applyAlignment="1">
      <alignment vertical="center"/>
    </xf>
    <xf numFmtId="4" fontId="24" fillId="38" borderId="22" xfId="0" applyNumberFormat="1" applyFont="1" applyFill="1" applyBorder="1" applyAlignment="1">
      <alignment horizontal="right" vertical="center"/>
    </xf>
    <xf numFmtId="0" fontId="19" fillId="38" borderId="11" xfId="0" applyFont="1" applyFill="1" applyBorder="1" applyAlignment="1">
      <alignment horizontal="left" vertical="center" wrapText="1"/>
    </xf>
    <xf numFmtId="4" fontId="25" fillId="34" borderId="11" xfId="0" applyNumberFormat="1" applyFont="1" applyFill="1" applyBorder="1" applyAlignment="1">
      <alignment horizontal="right" vertical="center"/>
    </xf>
    <xf numFmtId="4" fontId="16" fillId="35" borderId="12" xfId="0" applyNumberFormat="1" applyFont="1" applyFill="1" applyBorder="1" applyAlignment="1">
      <alignment horizontal="right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right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4" fontId="16" fillId="0" borderId="19" xfId="0" applyNumberFormat="1" applyFont="1" applyFill="1" applyBorder="1" applyAlignment="1">
      <alignment horizontal="right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" fontId="25" fillId="0" borderId="20" xfId="0" applyNumberFormat="1" applyFont="1" applyFill="1" applyBorder="1" applyAlignment="1">
      <alignment horizontal="right" vertical="center"/>
    </xf>
    <xf numFmtId="4" fontId="16" fillId="0" borderId="21" xfId="0" applyNumberFormat="1" applyFont="1" applyFill="1" applyBorder="1" applyAlignment="1">
      <alignment horizontal="right" vertical="center"/>
    </xf>
    <xf numFmtId="2" fontId="19" fillId="39" borderId="24" xfId="0" applyNumberFormat="1" applyFont="1" applyFill="1" applyBorder="1" applyAlignment="1">
      <alignment horizontal="right" vertical="center"/>
    </xf>
    <xf numFmtId="2" fontId="19" fillId="38" borderId="12" xfId="0" applyNumberFormat="1" applyFont="1" applyFill="1" applyBorder="1" applyAlignment="1">
      <alignment horizontal="right" vertical="center"/>
    </xf>
    <xf numFmtId="4" fontId="24" fillId="39" borderId="13" xfId="0" applyNumberFormat="1" applyFont="1" applyFill="1" applyBorder="1" applyAlignment="1">
      <alignment horizontal="right" vertical="center"/>
    </xf>
    <xf numFmtId="2" fontId="19" fillId="39" borderId="12" xfId="0" applyNumberFormat="1" applyFont="1" applyFill="1" applyBorder="1" applyAlignment="1">
      <alignment horizontal="right" vertical="center"/>
    </xf>
    <xf numFmtId="2" fontId="16" fillId="35" borderId="12" xfId="0" applyNumberFormat="1" applyFont="1" applyFill="1" applyBorder="1" applyAlignment="1">
      <alignment horizontal="right" vertical="center"/>
    </xf>
    <xf numFmtId="4" fontId="25" fillId="0" borderId="17" xfId="0" applyNumberFormat="1" applyFont="1" applyFill="1" applyBorder="1" applyAlignment="1">
      <alignment vertical="center"/>
    </xf>
    <xf numFmtId="4" fontId="25" fillId="0" borderId="18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5" fillId="0" borderId="19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/>
    </xf>
    <xf numFmtId="4" fontId="24" fillId="38" borderId="11" xfId="0" applyNumberFormat="1" applyFont="1" applyFill="1" applyBorder="1" applyAlignment="1">
      <alignment horizontal="right" vertical="center"/>
    </xf>
    <xf numFmtId="4" fontId="24" fillId="38" borderId="13" xfId="0" applyNumberFormat="1" applyFont="1" applyFill="1" applyBorder="1" applyAlignment="1">
      <alignment horizontal="right" vertical="center"/>
    </xf>
    <xf numFmtId="4" fontId="74" fillId="38" borderId="23" xfId="0" applyNumberFormat="1" applyFont="1" applyFill="1" applyBorder="1" applyAlignment="1">
      <alignment horizontal="right" vertical="center"/>
    </xf>
    <xf numFmtId="4" fontId="19" fillId="38" borderId="23" xfId="0" applyNumberFormat="1" applyFont="1" applyFill="1" applyBorder="1" applyAlignment="1">
      <alignment horizontal="right" vertical="center"/>
    </xf>
    <xf numFmtId="4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horizontal="right" vertical="center"/>
    </xf>
    <xf numFmtId="4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vertical="center" wrapText="1"/>
    </xf>
    <xf numFmtId="4" fontId="24" fillId="37" borderId="13" xfId="0" applyNumberFormat="1" applyFont="1" applyFill="1" applyBorder="1" applyAlignment="1">
      <alignment horizontal="right" vertical="center"/>
    </xf>
    <xf numFmtId="4" fontId="24" fillId="37" borderId="23" xfId="0" applyNumberFormat="1" applyFont="1" applyFill="1" applyBorder="1" applyAlignment="1">
      <alignment horizontal="right" vertical="center"/>
    </xf>
    <xf numFmtId="49" fontId="19" fillId="33" borderId="32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vertical="center" wrapText="1"/>
    </xf>
    <xf numFmtId="4" fontId="19" fillId="38" borderId="24" xfId="0" applyNumberFormat="1" applyFont="1" applyFill="1" applyBorder="1" applyAlignment="1">
      <alignment horizontal="right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right" vertical="center"/>
    </xf>
    <xf numFmtId="4" fontId="19" fillId="39" borderId="13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vertical="center"/>
    </xf>
    <xf numFmtId="49" fontId="16" fillId="0" borderId="16" xfId="0" applyNumberFormat="1" applyFont="1" applyBorder="1" applyAlignment="1">
      <alignment horizontal="center" vertical="center"/>
    </xf>
    <xf numFmtId="4" fontId="24" fillId="40" borderId="11" xfId="0" applyNumberFormat="1" applyFont="1" applyFill="1" applyBorder="1" applyAlignment="1">
      <alignment vertical="center"/>
    </xf>
    <xf numFmtId="4" fontId="24" fillId="40" borderId="11" xfId="0" applyNumberFormat="1" applyFont="1" applyFill="1" applyBorder="1" applyAlignment="1">
      <alignment horizontal="right" vertical="center"/>
    </xf>
    <xf numFmtId="4" fontId="24" fillId="40" borderId="12" xfId="0" applyNumberFormat="1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vertical="center"/>
    </xf>
    <xf numFmtId="4" fontId="74" fillId="0" borderId="11" xfId="0" applyNumberFormat="1" applyFont="1" applyBorder="1" applyAlignment="1">
      <alignment vertical="center"/>
    </xf>
    <xf numFmtId="49" fontId="19" fillId="38" borderId="11" xfId="0" applyNumberFormat="1" applyFont="1" applyFill="1" applyBorder="1" applyAlignment="1">
      <alignment horizontal="center" vertical="center"/>
    </xf>
    <xf numFmtId="4" fontId="25" fillId="35" borderId="11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left" vertical="center" wrapText="1"/>
    </xf>
    <xf numFmtId="4" fontId="24" fillId="39" borderId="13" xfId="0" applyNumberFormat="1" applyFont="1" applyFill="1" applyBorder="1" applyAlignment="1">
      <alignment horizontal="right" vertical="center" wrapText="1"/>
    </xf>
    <xf numFmtId="4" fontId="24" fillId="39" borderId="11" xfId="0" applyNumberFormat="1" applyFont="1" applyFill="1" applyBorder="1" applyAlignment="1">
      <alignment horizontal="right" vertical="center" wrapText="1"/>
    </xf>
    <xf numFmtId="49" fontId="74" fillId="0" borderId="16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right" vertical="center"/>
    </xf>
    <xf numFmtId="2" fontId="16" fillId="0" borderId="19" xfId="0" applyNumberFormat="1" applyFont="1" applyFill="1" applyBorder="1" applyAlignment="1">
      <alignment horizontal="right" vertical="center"/>
    </xf>
    <xf numFmtId="2" fontId="16" fillId="0" borderId="21" xfId="0" applyNumberFormat="1" applyFont="1" applyFill="1" applyBorder="1" applyAlignment="1">
      <alignment horizontal="right" vertical="center"/>
    </xf>
    <xf numFmtId="4" fontId="24" fillId="41" borderId="23" xfId="0" applyNumberFormat="1" applyFont="1" applyFill="1" applyBorder="1" applyAlignment="1">
      <alignment horizontal="right" vertical="center"/>
    </xf>
    <xf numFmtId="4" fontId="26" fillId="33" borderId="33" xfId="0" applyNumberFormat="1" applyFont="1" applyFill="1" applyBorder="1" applyAlignment="1">
      <alignment vertical="center"/>
    </xf>
    <xf numFmtId="4" fontId="26" fillId="33" borderId="34" xfId="0" applyNumberFormat="1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horizontal="center" vertical="center" wrapText="1"/>
    </xf>
    <xf numFmtId="1" fontId="19" fillId="33" borderId="11" xfId="0" applyNumberFormat="1" applyFont="1" applyFill="1" applyBorder="1" applyAlignment="1">
      <alignment horizontal="right" vertical="center" wrapText="1"/>
    </xf>
    <xf numFmtId="1" fontId="19" fillId="33" borderId="11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right" vertical="center"/>
    </xf>
    <xf numFmtId="4" fontId="16" fillId="0" borderId="20" xfId="0" applyNumberFormat="1" applyFont="1" applyFill="1" applyBorder="1" applyAlignment="1">
      <alignment horizontal="right" vertical="center"/>
    </xf>
    <xf numFmtId="49" fontId="16" fillId="38" borderId="11" xfId="0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right" vertical="center"/>
    </xf>
    <xf numFmtId="49" fontId="19" fillId="38" borderId="16" xfId="0" applyNumberFormat="1" applyFont="1" applyFill="1" applyBorder="1" applyAlignment="1">
      <alignment horizontal="center" vertical="center"/>
    </xf>
    <xf numFmtId="2" fontId="16" fillId="37" borderId="12" xfId="0" applyNumberFormat="1" applyFont="1" applyFill="1" applyBorder="1" applyAlignment="1">
      <alignment horizontal="right" vertical="center"/>
    </xf>
    <xf numFmtId="4" fontId="19" fillId="37" borderId="13" xfId="0" applyNumberFormat="1" applyFont="1" applyFill="1" applyBorder="1" applyAlignment="1">
      <alignment horizontal="right" vertical="center"/>
    </xf>
    <xf numFmtId="4" fontId="25" fillId="0" borderId="20" xfId="0" applyNumberFormat="1" applyFont="1" applyFill="1" applyBorder="1" applyAlignment="1">
      <alignment vertical="center"/>
    </xf>
    <xf numFmtId="4" fontId="25" fillId="0" borderId="2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2" fontId="19" fillId="33" borderId="24" xfId="0" applyNumberFormat="1" applyFont="1" applyFill="1" applyBorder="1" applyAlignment="1">
      <alignment horizontal="right" vertical="center"/>
    </xf>
    <xf numFmtId="4" fontId="25" fillId="34" borderId="14" xfId="0" applyNumberFormat="1" applyFont="1" applyFill="1" applyBorder="1" applyAlignment="1">
      <alignment horizontal="right" vertical="center"/>
    </xf>
    <xf numFmtId="4" fontId="25" fillId="35" borderId="14" xfId="0" applyNumberFormat="1" applyFont="1" applyFill="1" applyBorder="1" applyAlignment="1">
      <alignment horizontal="right" vertical="center"/>
    </xf>
    <xf numFmtId="2" fontId="16" fillId="35" borderId="15" xfId="0" applyNumberFormat="1" applyFont="1" applyFill="1" applyBorder="1" applyAlignment="1">
      <alignment horizontal="right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0" fontId="16" fillId="42" borderId="11" xfId="0" applyFont="1" applyFill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4" fontId="19" fillId="0" borderId="11" xfId="0" applyNumberFormat="1" applyFont="1" applyBorder="1" applyAlignment="1">
      <alignment horizontal="right" vertical="center"/>
    </xf>
    <xf numFmtId="4" fontId="19" fillId="0" borderId="12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6" fillId="38" borderId="11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right" vertical="center"/>
    </xf>
    <xf numFmtId="0" fontId="16" fillId="0" borderId="37" xfId="0" applyFont="1" applyBorder="1" applyAlignment="1">
      <alignment horizontal="center" vertical="center"/>
    </xf>
    <xf numFmtId="2" fontId="16" fillId="0" borderId="37" xfId="0" applyNumberFormat="1" applyFont="1" applyFill="1" applyBorder="1" applyAlignment="1">
      <alignment horizontal="center" vertical="center" wrapText="1"/>
    </xf>
    <xf numFmtId="2" fontId="16" fillId="0" borderId="36" xfId="0" applyNumberFormat="1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vertical="center"/>
    </xf>
    <xf numFmtId="2" fontId="16" fillId="13" borderId="12" xfId="0" applyNumberFormat="1" applyFont="1" applyFill="1" applyBorder="1" applyAlignment="1">
      <alignment horizontal="right" vertical="center"/>
    </xf>
    <xf numFmtId="0" fontId="16" fillId="42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right" vertical="center"/>
    </xf>
    <xf numFmtId="0" fontId="16" fillId="36" borderId="11" xfId="0" applyFont="1" applyFill="1" applyBorder="1" applyAlignment="1">
      <alignment vertical="center" wrapText="1"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0" fontId="16" fillId="36" borderId="11" xfId="0" applyFont="1" applyFill="1" applyBorder="1" applyAlignment="1">
      <alignment vertical="center"/>
    </xf>
    <xf numFmtId="0" fontId="16" fillId="36" borderId="11" xfId="0" applyFont="1" applyFill="1" applyBorder="1" applyAlignment="1">
      <alignment horizontal="left" vertical="center"/>
    </xf>
    <xf numFmtId="4" fontId="16" fillId="36" borderId="11" xfId="0" applyNumberFormat="1" applyFont="1" applyFill="1" applyBorder="1" applyAlignment="1">
      <alignment vertical="center"/>
    </xf>
    <xf numFmtId="0" fontId="19" fillId="38" borderId="16" xfId="0" applyFont="1" applyFill="1" applyBorder="1" applyAlignment="1">
      <alignment horizontal="right" vertical="center"/>
    </xf>
    <xf numFmtId="0" fontId="16" fillId="42" borderId="11" xfId="0" applyFont="1" applyFill="1" applyBorder="1" applyAlignment="1">
      <alignment vertical="center" wrapText="1"/>
    </xf>
    <xf numFmtId="0" fontId="16" fillId="13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vertical="center"/>
    </xf>
    <xf numFmtId="0" fontId="19" fillId="0" borderId="38" xfId="0" applyFont="1" applyBorder="1" applyAlignment="1">
      <alignment/>
    </xf>
    <xf numFmtId="2" fontId="16" fillId="13" borderId="15" xfId="0" applyNumberFormat="1" applyFont="1" applyFill="1" applyBorder="1" applyAlignment="1">
      <alignment horizontal="right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left" vertical="center"/>
    </xf>
    <xf numFmtId="0" fontId="16" fillId="37" borderId="11" xfId="0" applyFont="1" applyFill="1" applyBorder="1" applyAlignment="1">
      <alignment vertical="center" wrapText="1"/>
    </xf>
    <xf numFmtId="0" fontId="16" fillId="35" borderId="11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2" fontId="16" fillId="0" borderId="40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right" vertical="center"/>
    </xf>
    <xf numFmtId="4" fontId="19" fillId="0" borderId="11" xfId="0" applyNumberFormat="1" applyFont="1" applyBorder="1" applyAlignment="1">
      <alignment vertical="center"/>
    </xf>
    <xf numFmtId="0" fontId="16" fillId="35" borderId="38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left" vertical="center" wrapText="1"/>
    </xf>
    <xf numFmtId="4" fontId="16" fillId="35" borderId="14" xfId="0" applyNumberFormat="1" applyFont="1" applyFill="1" applyBorder="1" applyAlignment="1">
      <alignment horizontal="right" vertical="center"/>
    </xf>
    <xf numFmtId="4" fontId="16" fillId="35" borderId="15" xfId="0" applyNumberFormat="1" applyFont="1" applyFill="1" applyBorder="1" applyAlignment="1">
      <alignment horizontal="right" vertical="center"/>
    </xf>
    <xf numFmtId="0" fontId="16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center"/>
    </xf>
    <xf numFmtId="4" fontId="19" fillId="0" borderId="43" xfId="0" applyNumberFormat="1" applyFont="1" applyBorder="1" applyAlignment="1">
      <alignment horizontal="right" vertical="center"/>
    </xf>
    <xf numFmtId="2" fontId="19" fillId="0" borderId="44" xfId="0" applyNumberFormat="1" applyFont="1" applyBorder="1" applyAlignment="1">
      <alignment horizontal="right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left" vertical="center"/>
    </xf>
    <xf numFmtId="2" fontId="19" fillId="0" borderId="47" xfId="0" applyNumberFormat="1" applyFont="1" applyBorder="1" applyAlignment="1">
      <alignment horizontal="right" vertical="center"/>
    </xf>
    <xf numFmtId="4" fontId="16" fillId="35" borderId="48" xfId="0" applyNumberFormat="1" applyFont="1" applyFill="1" applyBorder="1" applyAlignment="1">
      <alignment horizontal="right" vertical="center"/>
    </xf>
    <xf numFmtId="4" fontId="16" fillId="35" borderId="49" xfId="0" applyNumberFormat="1" applyFont="1" applyFill="1" applyBorder="1" applyAlignment="1">
      <alignment horizontal="right" vertical="center"/>
    </xf>
    <xf numFmtId="4" fontId="19" fillId="0" borderId="23" xfId="0" applyNumberFormat="1" applyFont="1" applyFill="1" applyBorder="1" applyAlignment="1">
      <alignment vertical="center"/>
    </xf>
    <xf numFmtId="4" fontId="74" fillId="0" borderId="23" xfId="0" applyNumberFormat="1" applyFont="1" applyFill="1" applyBorder="1" applyAlignment="1">
      <alignment horizontal="right" vertical="center"/>
    </xf>
    <xf numFmtId="0" fontId="16" fillId="38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vertical="center"/>
    </xf>
    <xf numFmtId="0" fontId="19" fillId="38" borderId="11" xfId="0" applyFont="1" applyFill="1" applyBorder="1" applyAlignment="1">
      <alignment horizontal="right" vertical="center" wrapText="1"/>
    </xf>
    <xf numFmtId="0" fontId="16" fillId="38" borderId="11" xfId="0" applyFont="1" applyFill="1" applyBorder="1" applyAlignment="1">
      <alignment horizontal="right" vertical="center" wrapText="1"/>
    </xf>
    <xf numFmtId="0" fontId="75" fillId="0" borderId="0" xfId="0" applyFont="1" applyAlignment="1">
      <alignment vertical="center"/>
    </xf>
    <xf numFmtId="2" fontId="75" fillId="0" borderId="0" xfId="0" applyNumberFormat="1" applyFont="1" applyAlignment="1">
      <alignment vertical="center"/>
    </xf>
    <xf numFmtId="4" fontId="75" fillId="0" borderId="0" xfId="0" applyNumberFormat="1" applyFont="1" applyAlignment="1">
      <alignment vertical="center"/>
    </xf>
    <xf numFmtId="4" fontId="16" fillId="37" borderId="11" xfId="0" applyNumberFormat="1" applyFont="1" applyFill="1" applyBorder="1" applyAlignment="1">
      <alignment horizontal="right" vertical="center"/>
    </xf>
    <xf numFmtId="4" fontId="19" fillId="38" borderId="12" xfId="0" applyNumberFormat="1" applyFont="1" applyFill="1" applyBorder="1" applyAlignment="1">
      <alignment horizontal="right" vertical="center"/>
    </xf>
    <xf numFmtId="4" fontId="16" fillId="43" borderId="12" xfId="0" applyNumberFormat="1" applyFont="1" applyFill="1" applyBorder="1" applyAlignment="1">
      <alignment horizontal="right" vertical="center"/>
    </xf>
    <xf numFmtId="0" fontId="2" fillId="38" borderId="0" xfId="0" applyFont="1" applyFill="1" applyAlignment="1">
      <alignment vertical="center"/>
    </xf>
    <xf numFmtId="0" fontId="19" fillId="0" borderId="11" xfId="0" applyFont="1" applyBorder="1" applyAlignment="1">
      <alignment vertical="center" wrapText="1"/>
    </xf>
    <xf numFmtId="4" fontId="19" fillId="38" borderId="23" xfId="0" applyNumberFormat="1" applyFont="1" applyFill="1" applyBorder="1" applyAlignment="1">
      <alignment horizontal="right" vertical="center"/>
    </xf>
    <xf numFmtId="2" fontId="19" fillId="38" borderId="12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/>
    </xf>
    <xf numFmtId="0" fontId="16" fillId="33" borderId="22" xfId="0" applyFont="1" applyFill="1" applyBorder="1" applyAlignment="1">
      <alignment vertical="center" wrapText="1"/>
    </xf>
    <xf numFmtId="4" fontId="16" fillId="37" borderId="23" xfId="0" applyNumberFormat="1" applyFont="1" applyFill="1" applyBorder="1" applyAlignment="1">
      <alignment horizontal="right" vertical="center"/>
    </xf>
    <xf numFmtId="4" fontId="25" fillId="37" borderId="23" xfId="0" applyNumberFormat="1" applyFont="1" applyFill="1" applyBorder="1" applyAlignment="1">
      <alignment horizontal="right" vertical="center"/>
    </xf>
    <xf numFmtId="4" fontId="16" fillId="37" borderId="24" xfId="0" applyNumberFormat="1" applyFont="1" applyFill="1" applyBorder="1" applyAlignment="1">
      <alignment horizontal="right" vertical="center"/>
    </xf>
    <xf numFmtId="4" fontId="25" fillId="38" borderId="33" xfId="0" applyNumberFormat="1" applyFont="1" applyFill="1" applyBorder="1" applyAlignment="1">
      <alignment horizontal="right" vertical="center"/>
    </xf>
    <xf numFmtId="4" fontId="25" fillId="38" borderId="33" xfId="0" applyNumberFormat="1" applyFont="1" applyFill="1" applyBorder="1" applyAlignment="1">
      <alignment horizontal="right" vertical="center"/>
    </xf>
    <xf numFmtId="4" fontId="24" fillId="38" borderId="22" xfId="0" applyNumberFormat="1" applyFont="1" applyFill="1" applyBorder="1" applyAlignment="1">
      <alignment horizontal="right" vertical="center"/>
    </xf>
    <xf numFmtId="2" fontId="19" fillId="38" borderId="24" xfId="0" applyNumberFormat="1" applyFont="1" applyFill="1" applyBorder="1" applyAlignment="1">
      <alignment horizontal="right" vertical="center"/>
    </xf>
    <xf numFmtId="2" fontId="16" fillId="38" borderId="34" xfId="0" applyNumberFormat="1" applyFont="1" applyFill="1" applyBorder="1" applyAlignment="1">
      <alignment horizontal="right" vertical="center"/>
    </xf>
    <xf numFmtId="49" fontId="16" fillId="38" borderId="11" xfId="0" applyNumberFormat="1" applyFont="1" applyFill="1" applyBorder="1" applyAlignment="1">
      <alignment horizontal="center" vertical="center"/>
    </xf>
    <xf numFmtId="4" fontId="25" fillId="41" borderId="11" xfId="0" applyNumberFormat="1" applyFont="1" applyFill="1" applyBorder="1" applyAlignment="1">
      <alignment horizontal="right" vertical="center"/>
    </xf>
    <xf numFmtId="4" fontId="24" fillId="41" borderId="22" xfId="0" applyNumberFormat="1" applyFont="1" applyFill="1" applyBorder="1" applyAlignment="1">
      <alignment horizontal="right" vertical="center"/>
    </xf>
    <xf numFmtId="2" fontId="19" fillId="41" borderId="24" xfId="0" applyNumberFormat="1" applyFont="1" applyFill="1" applyBorder="1" applyAlignment="1">
      <alignment horizontal="right" vertical="center"/>
    </xf>
    <xf numFmtId="4" fontId="25" fillId="35" borderId="11" xfId="0" applyNumberFormat="1" applyFont="1" applyFill="1" applyBorder="1" applyAlignment="1">
      <alignment horizontal="right" vertical="center"/>
    </xf>
    <xf numFmtId="4" fontId="25" fillId="35" borderId="22" xfId="0" applyNumberFormat="1" applyFont="1" applyFill="1" applyBorder="1" applyAlignment="1">
      <alignment horizontal="right" vertical="center"/>
    </xf>
    <xf numFmtId="2" fontId="16" fillId="35" borderId="24" xfId="0" applyNumberFormat="1" applyFont="1" applyFill="1" applyBorder="1" applyAlignment="1">
      <alignment horizontal="right" vertical="center"/>
    </xf>
    <xf numFmtId="4" fontId="24" fillId="38" borderId="11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right" vertical="center"/>
    </xf>
    <xf numFmtId="4" fontId="16" fillId="38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19" fillId="38" borderId="16" xfId="0" applyFont="1" applyFill="1" applyBorder="1" applyAlignment="1">
      <alignment vertical="center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right" vertical="center"/>
    </xf>
    <xf numFmtId="0" fontId="16" fillId="38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38" borderId="11" xfId="0" applyFont="1" applyFill="1" applyBorder="1" applyAlignment="1">
      <alignment horizontal="left" vertical="center"/>
    </xf>
    <xf numFmtId="0" fontId="19" fillId="38" borderId="11" xfId="0" applyFont="1" applyFill="1" applyBorder="1" applyAlignment="1">
      <alignment horizontal="left" vertical="center" wrapText="1"/>
    </xf>
    <xf numFmtId="0" fontId="16" fillId="38" borderId="11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9" fillId="33" borderId="5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6" fillId="38" borderId="10" xfId="0" applyFont="1" applyFill="1" applyBorder="1" applyAlignment="1">
      <alignment horizontal="center" vertical="center"/>
    </xf>
    <xf numFmtId="4" fontId="25" fillId="35" borderId="23" xfId="0" applyNumberFormat="1" applyFont="1" applyFill="1" applyBorder="1" applyAlignment="1">
      <alignment horizontal="right" vertical="center"/>
    </xf>
    <xf numFmtId="4" fontId="25" fillId="35" borderId="13" xfId="0" applyNumberFormat="1" applyFont="1" applyFill="1" applyBorder="1" applyAlignment="1">
      <alignment horizontal="right" vertical="center"/>
    </xf>
    <xf numFmtId="0" fontId="19" fillId="38" borderId="11" xfId="0" applyFont="1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/>
    </xf>
    <xf numFmtId="49" fontId="19" fillId="38" borderId="32" xfId="0" applyNumberFormat="1" applyFont="1" applyFill="1" applyBorder="1" applyAlignment="1">
      <alignment horizontal="center" vertical="center"/>
    </xf>
    <xf numFmtId="0" fontId="16" fillId="38" borderId="22" xfId="0" applyFont="1" applyFill="1" applyBorder="1" applyAlignment="1">
      <alignment horizontal="center" vertical="center"/>
    </xf>
    <xf numFmtId="0" fontId="19" fillId="38" borderId="22" xfId="0" applyFont="1" applyFill="1" applyBorder="1" applyAlignment="1">
      <alignment horizontal="right" vertical="center"/>
    </xf>
    <xf numFmtId="0" fontId="19" fillId="38" borderId="22" xfId="0" applyFont="1" applyFill="1" applyBorder="1" applyAlignment="1">
      <alignment vertical="center" wrapText="1"/>
    </xf>
    <xf numFmtId="4" fontId="16" fillId="35" borderId="1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9" fillId="33" borderId="22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4" fontId="19" fillId="41" borderId="23" xfId="0" applyNumberFormat="1" applyFont="1" applyFill="1" applyBorder="1" applyAlignment="1">
      <alignment horizontal="right" vertical="center"/>
    </xf>
    <xf numFmtId="4" fontId="16" fillId="44" borderId="12" xfId="0" applyNumberFormat="1" applyFont="1" applyFill="1" applyBorder="1" applyAlignment="1">
      <alignment horizontal="right" vertical="center"/>
    </xf>
    <xf numFmtId="4" fontId="16" fillId="30" borderId="11" xfId="0" applyNumberFormat="1" applyFont="1" applyFill="1" applyBorder="1" applyAlignment="1">
      <alignment horizontal="right" vertical="center"/>
    </xf>
    <xf numFmtId="4" fontId="16" fillId="30" borderId="14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4" fontId="19" fillId="0" borderId="51" xfId="0" applyNumberFormat="1" applyFont="1" applyBorder="1" applyAlignment="1">
      <alignment horizontal="right" vertical="center"/>
    </xf>
    <xf numFmtId="4" fontId="19" fillId="0" borderId="46" xfId="0" applyNumberFormat="1" applyFont="1" applyBorder="1" applyAlignment="1">
      <alignment horizontal="right" vertical="center"/>
    </xf>
    <xf numFmtId="2" fontId="19" fillId="38" borderId="24" xfId="0" applyNumberFormat="1" applyFont="1" applyFill="1" applyBorder="1" applyAlignment="1">
      <alignment horizontal="right" vertical="center"/>
    </xf>
    <xf numFmtId="4" fontId="24" fillId="38" borderId="12" xfId="0" applyNumberFormat="1" applyFont="1" applyFill="1" applyBorder="1" applyAlignment="1">
      <alignment horizontal="right" vertical="center"/>
    </xf>
    <xf numFmtId="4" fontId="24" fillId="41" borderId="11" xfId="0" applyNumberFormat="1" applyFont="1" applyFill="1" applyBorder="1" applyAlignment="1">
      <alignment horizontal="right" vertical="center"/>
    </xf>
    <xf numFmtId="4" fontId="19" fillId="37" borderId="24" xfId="0" applyNumberFormat="1" applyFont="1" applyFill="1" applyBorder="1" applyAlignment="1">
      <alignment horizontal="right" vertical="center"/>
    </xf>
    <xf numFmtId="2" fontId="19" fillId="37" borderId="24" xfId="0" applyNumberFormat="1" applyFont="1" applyFill="1" applyBorder="1" applyAlignment="1">
      <alignment horizontal="right" vertical="center"/>
    </xf>
    <xf numFmtId="4" fontId="16" fillId="35" borderId="24" xfId="0" applyNumberFormat="1" applyFont="1" applyFill="1" applyBorder="1" applyAlignment="1">
      <alignment horizontal="right" vertical="center"/>
    </xf>
    <xf numFmtId="4" fontId="16" fillId="35" borderId="12" xfId="0" applyNumberFormat="1" applyFont="1" applyFill="1" applyBorder="1" applyAlignment="1">
      <alignment horizontal="right" vertical="center"/>
    </xf>
    <xf numFmtId="4" fontId="25" fillId="35" borderId="12" xfId="0" applyNumberFormat="1" applyFont="1" applyFill="1" applyBorder="1" applyAlignment="1">
      <alignment horizontal="right" vertical="center"/>
    </xf>
    <xf numFmtId="2" fontId="16" fillId="35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6" fillId="0" borderId="11" xfId="0" applyFont="1" applyBorder="1" applyAlignment="1">
      <alignment vertical="center" wrapText="1"/>
    </xf>
    <xf numFmtId="2" fontId="19" fillId="41" borderId="24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4" fontId="16" fillId="38" borderId="12" xfId="0" applyNumberFormat="1" applyFont="1" applyFill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4" fontId="16" fillId="33" borderId="33" xfId="0" applyNumberFormat="1" applyFont="1" applyFill="1" applyBorder="1" applyAlignment="1">
      <alignment vertical="center"/>
    </xf>
    <xf numFmtId="4" fontId="16" fillId="45" borderId="11" xfId="0" applyNumberFormat="1" applyFont="1" applyFill="1" applyBorder="1" applyAlignment="1">
      <alignment horizontal="right" vertical="center"/>
    </xf>
    <xf numFmtId="4" fontId="16" fillId="45" borderId="12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4" fontId="0" fillId="38" borderId="0" xfId="0" applyNumberFormat="1" applyFill="1" applyAlignment="1">
      <alignment vertical="center"/>
    </xf>
    <xf numFmtId="0" fontId="8" fillId="38" borderId="0" xfId="0" applyFont="1" applyFill="1" applyAlignment="1">
      <alignment vertical="center"/>
    </xf>
    <xf numFmtId="4" fontId="2" fillId="38" borderId="0" xfId="0" applyNumberFormat="1" applyFont="1" applyFill="1" applyAlignment="1">
      <alignment horizontal="center" vertical="top"/>
    </xf>
    <xf numFmtId="0" fontId="0" fillId="38" borderId="0" xfId="0" applyFill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38" borderId="11" xfId="0" applyNumberFormat="1" applyFont="1" applyFill="1" applyBorder="1" applyAlignment="1">
      <alignment vertical="center"/>
    </xf>
    <xf numFmtId="4" fontId="8" fillId="38" borderId="0" xfId="0" applyNumberFormat="1" applyFont="1" applyFill="1" applyAlignment="1">
      <alignment/>
    </xf>
    <xf numFmtId="0" fontId="35" fillId="38" borderId="0" xfId="0" applyFont="1" applyFill="1" applyBorder="1" applyAlignment="1">
      <alignment horizontal="left" vertical="center" wrapText="1"/>
    </xf>
    <xf numFmtId="4" fontId="34" fillId="38" borderId="0" xfId="0" applyNumberFormat="1" applyFont="1" applyFill="1" applyBorder="1" applyAlignment="1">
      <alignment horizontal="right" vertical="center"/>
    </xf>
    <xf numFmtId="4" fontId="36" fillId="38" borderId="0" xfId="0" applyNumberFormat="1" applyFont="1" applyFill="1" applyBorder="1" applyAlignment="1">
      <alignment horizontal="right" vertical="center"/>
    </xf>
    <xf numFmtId="4" fontId="2" fillId="38" borderId="0" xfId="0" applyNumberFormat="1" applyFont="1" applyFill="1" applyAlignment="1">
      <alignment vertical="center"/>
    </xf>
    <xf numFmtId="4" fontId="75" fillId="38" borderId="0" xfId="0" applyNumberFormat="1" applyFont="1" applyFill="1" applyAlignment="1">
      <alignment vertical="center"/>
    </xf>
    <xf numFmtId="4" fontId="3" fillId="38" borderId="0" xfId="0" applyNumberFormat="1" applyFont="1" applyFill="1" applyAlignment="1">
      <alignment/>
    </xf>
    <xf numFmtId="0" fontId="19" fillId="38" borderId="0" xfId="0" applyFont="1" applyFill="1" applyBorder="1" applyAlignment="1">
      <alignment horizontal="right" vertical="center"/>
    </xf>
    <xf numFmtId="0" fontId="19" fillId="38" borderId="0" xfId="0" applyFont="1" applyFill="1" applyBorder="1" applyAlignment="1">
      <alignment/>
    </xf>
    <xf numFmtId="0" fontId="16" fillId="38" borderId="0" xfId="0" applyFont="1" applyFill="1" applyBorder="1" applyAlignment="1">
      <alignment vertical="center" wrapText="1"/>
    </xf>
    <xf numFmtId="4" fontId="16" fillId="38" borderId="0" xfId="0" applyNumberFormat="1" applyFont="1" applyFill="1" applyBorder="1" applyAlignment="1">
      <alignment horizontal="right" vertical="center" wrapText="1"/>
    </xf>
    <xf numFmtId="4" fontId="16" fillId="38" borderId="0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9" fillId="38" borderId="16" xfId="0" applyFont="1" applyFill="1" applyBorder="1" applyAlignment="1">
      <alignment horizontal="right" vertical="center"/>
    </xf>
    <xf numFmtId="0" fontId="30" fillId="38" borderId="11" xfId="0" applyFont="1" applyFill="1" applyBorder="1" applyAlignment="1">
      <alignment horizontal="left" vertical="center" wrapText="1"/>
    </xf>
    <xf numFmtId="0" fontId="19" fillId="0" borderId="16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vertical="center" wrapText="1"/>
    </xf>
    <xf numFmtId="0" fontId="16" fillId="38" borderId="38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4" fontId="0" fillId="0" borderId="0" xfId="0" applyNumberFormat="1" applyFont="1" applyAlignment="1">
      <alignment/>
    </xf>
    <xf numFmtId="0" fontId="30" fillId="0" borderId="11" xfId="0" applyFont="1" applyFill="1" applyBorder="1" applyAlignment="1">
      <alignment vertical="center" wrapText="1"/>
    </xf>
    <xf numFmtId="0" fontId="19" fillId="38" borderId="2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" fontId="16" fillId="46" borderId="11" xfId="0" applyNumberFormat="1" applyFont="1" applyFill="1" applyBorder="1" applyAlignment="1">
      <alignment horizontal="right" vertical="center"/>
    </xf>
    <xf numFmtId="4" fontId="16" fillId="46" borderId="12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9" fillId="38" borderId="11" xfId="0" applyFont="1" applyFill="1" applyBorder="1" applyAlignment="1">
      <alignment horizontal="right" vertical="center" wrapText="1"/>
    </xf>
    <xf numFmtId="0" fontId="16" fillId="38" borderId="11" xfId="0" applyFont="1" applyFill="1" applyBorder="1" applyAlignment="1">
      <alignment horizontal="right" vertical="center" wrapText="1"/>
    </xf>
    <xf numFmtId="0" fontId="32" fillId="38" borderId="11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0" fillId="0" borderId="5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38" borderId="37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38" borderId="39" xfId="0" applyFont="1" applyFill="1" applyBorder="1" applyAlignment="1">
      <alignment horizontal="center" vertical="center" wrapText="1"/>
    </xf>
    <xf numFmtId="0" fontId="16" fillId="38" borderId="22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6" fillId="38" borderId="36" xfId="0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57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30" fillId="36" borderId="58" xfId="0" applyFont="1" applyFill="1" applyBorder="1" applyAlignment="1">
      <alignment horizontal="center" vertical="center" wrapText="1"/>
    </xf>
    <xf numFmtId="0" fontId="30" fillId="36" borderId="27" xfId="0" applyFont="1" applyFill="1" applyBorder="1" applyAlignment="1">
      <alignment horizontal="center" vertical="center" wrapText="1"/>
    </xf>
    <xf numFmtId="0" fontId="30" fillId="36" borderId="59" xfId="0" applyFont="1" applyFill="1" applyBorder="1" applyAlignment="1">
      <alignment horizontal="center" vertical="center" wrapText="1"/>
    </xf>
    <xf numFmtId="0" fontId="30" fillId="36" borderId="29" xfId="0" applyFont="1" applyFill="1" applyBorder="1" applyAlignment="1">
      <alignment horizontal="center" vertical="center" wrapText="1"/>
    </xf>
    <xf numFmtId="0" fontId="30" fillId="36" borderId="23" xfId="0" applyFont="1" applyFill="1" applyBorder="1" applyAlignment="1">
      <alignment horizontal="center" vertical="center" wrapText="1"/>
    </xf>
    <xf numFmtId="0" fontId="30" fillId="36" borderId="31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57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57" xfId="0" applyNumberFormat="1" applyFont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8" borderId="57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6" fillId="38" borderId="37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57" xfId="0" applyNumberFormat="1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60" xfId="0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/>
    </xf>
    <xf numFmtId="0" fontId="16" fillId="34" borderId="6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104775</xdr:rowOff>
    </xdr:from>
    <xdr:to>
      <xdr:col>12</xdr:col>
      <xdr:colOff>66675</xdr:colOff>
      <xdr:row>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66700"/>
          <a:ext cx="65341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="124" zoomScaleNormal="124" zoomScaleSheetLayoutView="100" zoomScalePageLayoutView="0" workbookViewId="0" topLeftCell="A1">
      <selection activeCell="F33" sqref="F33"/>
    </sheetView>
  </sheetViews>
  <sheetFormatPr defaultColWidth="9.140625" defaultRowHeight="12.75"/>
  <sheetData>
    <row r="1" spans="1:13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4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ht="12.75" customHeight="1"/>
    <row r="6" ht="12.75" customHeight="1"/>
    <row r="7" ht="12.75" customHeight="1"/>
    <row r="8" spans="9:11" ht="15">
      <c r="I8" s="12"/>
      <c r="J8" s="12"/>
      <c r="K8" s="12"/>
    </row>
    <row r="9" spans="9:11" ht="15">
      <c r="I9" s="12"/>
      <c r="J9" s="13"/>
      <c r="K9" s="12"/>
    </row>
    <row r="10" spans="9:11" ht="15">
      <c r="I10" s="12"/>
      <c r="J10" s="13"/>
      <c r="K10" s="12"/>
    </row>
    <row r="11" spans="8:11" ht="12.75" customHeight="1">
      <c r="H11" s="14"/>
      <c r="I11" s="12"/>
      <c r="J11" s="15"/>
      <c r="K11" s="16"/>
    </row>
    <row r="12" ht="12.75" customHeight="1"/>
    <row r="13" ht="7.5" customHeight="1"/>
    <row r="14" spans="10:12" ht="17.25" customHeight="1">
      <c r="J14" s="40"/>
      <c r="K14" s="450"/>
      <c r="L14" s="40"/>
    </row>
    <row r="15" spans="11:13" ht="15.75">
      <c r="K15" s="463"/>
      <c r="L15" s="463"/>
      <c r="M15" s="463"/>
    </row>
    <row r="16" ht="6" customHeight="1"/>
    <row r="17" ht="12.75" customHeight="1"/>
    <row r="18" spans="1:13" ht="12.75" customHeight="1">
      <c r="A18" s="461" t="s">
        <v>572</v>
      </c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</row>
    <row r="19" spans="1:13" ht="12.75" customHeight="1">
      <c r="A19" s="461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</row>
    <row r="20" spans="1:13" ht="34.5" customHeight="1">
      <c r="A20" s="461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</row>
    <row r="21" spans="1:13" ht="16.5" customHeight="1">
      <c r="A21" s="461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</row>
    <row r="22" ht="12.75" customHeight="1"/>
    <row r="23" ht="9" customHeight="1"/>
    <row r="28" spans="1:12" ht="15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</row>
    <row r="29" spans="1:12" ht="15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</row>
    <row r="30" spans="1:12" ht="15">
      <c r="A30" s="392"/>
      <c r="B30" s="392"/>
      <c r="C30" s="392"/>
      <c r="D30" s="392"/>
      <c r="H30" s="392"/>
      <c r="I30" s="392"/>
      <c r="J30" s="392"/>
      <c r="K30" s="392"/>
      <c r="L30" s="392"/>
    </row>
    <row r="32" spans="5:8" ht="15">
      <c r="E32" s="392"/>
      <c r="F32" s="392"/>
      <c r="G32" s="392"/>
      <c r="H32" s="392"/>
    </row>
    <row r="33" spans="1:13" ht="15.75">
      <c r="A33" s="33"/>
      <c r="B33" s="33"/>
      <c r="C33" s="33"/>
      <c r="D33" s="33"/>
      <c r="E33" s="33"/>
      <c r="F33" s="33"/>
      <c r="G33" s="33"/>
      <c r="H33" s="462"/>
      <c r="I33" s="462"/>
      <c r="J33" s="462"/>
      <c r="K33" s="462"/>
      <c r="L33" s="462"/>
      <c r="M33" s="462"/>
    </row>
    <row r="34" spans="1:13" ht="15.75">
      <c r="A34" s="462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</row>
  </sheetData>
  <sheetProtection/>
  <mergeCells count="4">
    <mergeCell ref="A18:M21"/>
    <mergeCell ref="H33:M33"/>
    <mergeCell ref="K15:M15"/>
    <mergeCell ref="A34:M34"/>
  </mergeCells>
  <printOptions/>
  <pageMargins left="0.75" right="0.75" top="1" bottom="1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55">
      <selection activeCell="G75" sqref="G75"/>
    </sheetView>
  </sheetViews>
  <sheetFormatPr defaultColWidth="9.140625" defaultRowHeight="12.75"/>
  <cols>
    <col min="1" max="1" width="11.00390625" style="0" bestFit="1" customWidth="1"/>
    <col min="2" max="2" width="58.00390625" style="0" customWidth="1"/>
    <col min="3" max="5" width="16.140625" style="22" customWidth="1"/>
    <col min="6" max="6" width="11.28125" style="22" customWidth="1"/>
    <col min="7" max="7" width="9.140625" style="0" customWidth="1"/>
    <col min="8" max="8" width="14.8515625" style="0" customWidth="1"/>
  </cols>
  <sheetData>
    <row r="1" spans="1:6" ht="47.25" customHeight="1" thickBot="1">
      <c r="A1" s="464" t="s">
        <v>560</v>
      </c>
      <c r="B1" s="464"/>
      <c r="C1" s="464"/>
      <c r="D1" s="464"/>
      <c r="E1" s="464"/>
      <c r="F1" s="464"/>
    </row>
    <row r="2" spans="1:6" ht="18.75" customHeight="1" thickTop="1">
      <c r="A2" s="465" t="s">
        <v>54</v>
      </c>
      <c r="B2" s="467" t="s">
        <v>191</v>
      </c>
      <c r="C2" s="471" t="s">
        <v>534</v>
      </c>
      <c r="D2" s="473" t="s">
        <v>559</v>
      </c>
      <c r="E2" s="471" t="s">
        <v>563</v>
      </c>
      <c r="F2" s="469" t="s">
        <v>104</v>
      </c>
    </row>
    <row r="3" spans="1:6" ht="29.25" customHeight="1">
      <c r="A3" s="466"/>
      <c r="B3" s="468"/>
      <c r="C3" s="472"/>
      <c r="D3" s="474"/>
      <c r="E3" s="472"/>
      <c r="F3" s="470"/>
    </row>
    <row r="4" spans="1:6" s="5" customFormat="1" ht="12.75" customHeight="1">
      <c r="A4" s="102">
        <v>1</v>
      </c>
      <c r="B4" s="100">
        <v>2</v>
      </c>
      <c r="C4" s="100">
        <v>3</v>
      </c>
      <c r="D4" s="100" t="s">
        <v>561</v>
      </c>
      <c r="E4" s="100">
        <v>5</v>
      </c>
      <c r="F4" s="101" t="s">
        <v>562</v>
      </c>
    </row>
    <row r="5" spans="1:6" ht="18" customHeight="1">
      <c r="A5" s="259"/>
      <c r="B5" s="48" t="s">
        <v>228</v>
      </c>
      <c r="C5" s="49">
        <f>C6+C13+C19+C21</f>
        <v>25213000</v>
      </c>
      <c r="D5" s="49">
        <f>D6+D13+D19+D21</f>
        <v>1479984.77</v>
      </c>
      <c r="E5" s="49">
        <f>E6+E13+E19+E21</f>
        <v>26692984.77</v>
      </c>
      <c r="F5" s="51">
        <f aca="true" t="shared" si="0" ref="F5:F36">E5/C5*100</f>
        <v>105.86992729940903</v>
      </c>
    </row>
    <row r="6" spans="1:6" ht="15" customHeight="1">
      <c r="A6" s="281">
        <v>710000</v>
      </c>
      <c r="B6" s="282" t="s">
        <v>201</v>
      </c>
      <c r="C6" s="56">
        <f>C7+C8+C9+C10+C11+C12</f>
        <v>14897000</v>
      </c>
      <c r="D6" s="56">
        <f>D7+D8+D9+D10+D11+D12</f>
        <v>-120000</v>
      </c>
      <c r="E6" s="56">
        <f>E7+E8+E9+E10+E11+E12</f>
        <v>14777000</v>
      </c>
      <c r="F6" s="58">
        <f t="shared" si="0"/>
        <v>99.19446868497013</v>
      </c>
    </row>
    <row r="7" spans="1:6" ht="12" customHeight="1">
      <c r="A7" s="253">
        <v>711100</v>
      </c>
      <c r="B7" s="61" t="s">
        <v>176</v>
      </c>
      <c r="C7" s="88">
        <f>'B.pr. i prim. za nef. im.'!D7</f>
        <v>0</v>
      </c>
      <c r="D7" s="88">
        <f aca="true" t="shared" si="1" ref="D7:D12">E7-C7</f>
        <v>0</v>
      </c>
      <c r="E7" s="88">
        <f>'B.pr. i prim. za nef. im.'!F7</f>
        <v>0</v>
      </c>
      <c r="F7" s="313" t="e">
        <f t="shared" si="0"/>
        <v>#DIV/0!</v>
      </c>
    </row>
    <row r="8" spans="1:6" ht="12.75">
      <c r="A8" s="253">
        <v>713000</v>
      </c>
      <c r="B8" s="69" t="s">
        <v>4</v>
      </c>
      <c r="C8" s="88">
        <f>'B.pr. i prim. za nef. im.'!D9</f>
        <v>1355000</v>
      </c>
      <c r="D8" s="88">
        <f t="shared" si="1"/>
        <v>195000</v>
      </c>
      <c r="E8" s="88">
        <f>'B.pr. i prim. za nef. im.'!F9</f>
        <v>1550000</v>
      </c>
      <c r="F8" s="313">
        <f t="shared" si="0"/>
        <v>114.39114391143912</v>
      </c>
    </row>
    <row r="9" spans="1:6" ht="14.25" customHeight="1">
      <c r="A9" s="253">
        <v>714000</v>
      </c>
      <c r="B9" s="69" t="s">
        <v>8</v>
      </c>
      <c r="C9" s="88">
        <f>'B.pr. i prim. za nef. im.'!D12</f>
        <v>265000</v>
      </c>
      <c r="D9" s="88">
        <f t="shared" si="1"/>
        <v>0</v>
      </c>
      <c r="E9" s="88">
        <f>'B.pr. i prim. za nef. im.'!F12</f>
        <v>265000</v>
      </c>
      <c r="F9" s="313">
        <f t="shared" si="0"/>
        <v>100</v>
      </c>
    </row>
    <row r="10" spans="1:6" ht="14.25" customHeight="1">
      <c r="A10" s="253">
        <v>715000</v>
      </c>
      <c r="B10" s="69" t="s">
        <v>144</v>
      </c>
      <c r="C10" s="88">
        <f>'B.pr. i prim. za nef. im.'!D14</f>
        <v>2000</v>
      </c>
      <c r="D10" s="88">
        <f t="shared" si="1"/>
        <v>0</v>
      </c>
      <c r="E10" s="88">
        <f>'B.pr. i prim. za nef. im.'!F14</f>
        <v>2000</v>
      </c>
      <c r="F10" s="313">
        <f t="shared" si="0"/>
        <v>100</v>
      </c>
    </row>
    <row r="11" spans="1:6" ht="14.25" customHeight="1">
      <c r="A11" s="253">
        <v>717000</v>
      </c>
      <c r="B11" s="61" t="s">
        <v>278</v>
      </c>
      <c r="C11" s="88">
        <f>'B.pr. i prim. za nef. im.'!D18</f>
        <v>13200000</v>
      </c>
      <c r="D11" s="88">
        <f t="shared" si="1"/>
        <v>-400000</v>
      </c>
      <c r="E11" s="88">
        <f>'B.pr. i prim. za nef. im.'!F19</f>
        <v>12800000</v>
      </c>
      <c r="F11" s="313">
        <f t="shared" si="0"/>
        <v>96.96969696969697</v>
      </c>
    </row>
    <row r="12" spans="1:6" ht="14.25" customHeight="1">
      <c r="A12" s="253">
        <v>719000</v>
      </c>
      <c r="B12" s="69" t="s">
        <v>279</v>
      </c>
      <c r="C12" s="88">
        <f>'B.pr. i prim. za nef. im.'!D20</f>
        <v>75000</v>
      </c>
      <c r="D12" s="88">
        <f t="shared" si="1"/>
        <v>85000</v>
      </c>
      <c r="E12" s="88">
        <f>'B.pr. i prim. za nef. im.'!F20</f>
        <v>160000</v>
      </c>
      <c r="F12" s="313">
        <f t="shared" si="0"/>
        <v>213.33333333333334</v>
      </c>
    </row>
    <row r="13" spans="1:8" ht="15" customHeight="1">
      <c r="A13" s="281">
        <v>720000</v>
      </c>
      <c r="B13" s="282" t="s">
        <v>204</v>
      </c>
      <c r="C13" s="56">
        <f>SUM(C14:C18)</f>
        <v>8536600</v>
      </c>
      <c r="D13" s="56">
        <f>SUM(D14:D18)</f>
        <v>823520</v>
      </c>
      <c r="E13" s="56">
        <f>SUM(E14:E18)</f>
        <v>9360120</v>
      </c>
      <c r="F13" s="58">
        <f t="shared" si="0"/>
        <v>109.64693203383081</v>
      </c>
      <c r="H13" s="1"/>
    </row>
    <row r="14" spans="1:8" ht="14.25" customHeight="1">
      <c r="A14" s="257">
        <v>721000</v>
      </c>
      <c r="B14" s="61" t="s">
        <v>145</v>
      </c>
      <c r="C14" s="88">
        <f>'B.pr. i prim. za nef. im.'!D23</f>
        <v>409900</v>
      </c>
      <c r="D14" s="88">
        <f>E14-C14</f>
        <v>-900</v>
      </c>
      <c r="E14" s="88">
        <f>'B.pr. i prim. za nef. im.'!F23</f>
        <v>409000</v>
      </c>
      <c r="F14" s="313">
        <f t="shared" si="0"/>
        <v>99.78043425225664</v>
      </c>
      <c r="H14" s="1"/>
    </row>
    <row r="15" spans="1:6" ht="14.25" customHeight="1">
      <c r="A15" s="257">
        <v>722000</v>
      </c>
      <c r="B15" s="66" t="s">
        <v>148</v>
      </c>
      <c r="C15" s="88">
        <f>'B.pr. i prim. za nef. im.'!D31</f>
        <v>7951200</v>
      </c>
      <c r="D15" s="88">
        <f>E15-C15</f>
        <v>809420</v>
      </c>
      <c r="E15" s="88">
        <f>'B.pr. i prim. za nef. im.'!F31</f>
        <v>8760620</v>
      </c>
      <c r="F15" s="313">
        <f t="shared" si="0"/>
        <v>110.17984706710936</v>
      </c>
    </row>
    <row r="16" spans="1:6" ht="14.25" customHeight="1">
      <c r="A16" s="257">
        <v>723000</v>
      </c>
      <c r="B16" s="69" t="s">
        <v>17</v>
      </c>
      <c r="C16" s="432">
        <f>'B.pr. i prim. za nef. im.'!D76</f>
        <v>45000</v>
      </c>
      <c r="D16" s="88">
        <f>E16-C16</f>
        <v>40000</v>
      </c>
      <c r="E16" s="432">
        <f>'B.pr. i prim. za nef. im.'!F76</f>
        <v>85000</v>
      </c>
      <c r="F16" s="313">
        <f t="shared" si="0"/>
        <v>188.88888888888889</v>
      </c>
    </row>
    <row r="17" spans="1:6" ht="25.5" customHeight="1">
      <c r="A17" s="274">
        <v>728000</v>
      </c>
      <c r="B17" s="340" t="s">
        <v>465</v>
      </c>
      <c r="C17" s="432">
        <f>'B.pr. i prim. za nef. im.'!D78</f>
        <v>40500</v>
      </c>
      <c r="D17" s="88">
        <f>E17-C17</f>
        <v>0</v>
      </c>
      <c r="E17" s="432">
        <f>'B.pr. i prim. za nef. im.'!F78</f>
        <v>40500</v>
      </c>
      <c r="F17" s="313">
        <f t="shared" si="0"/>
        <v>100</v>
      </c>
    </row>
    <row r="18" spans="1:6" ht="12.75">
      <c r="A18" s="257">
        <v>729000</v>
      </c>
      <c r="B18" s="66" t="s">
        <v>18</v>
      </c>
      <c r="C18" s="432">
        <f>'B.pr. i prim. za nef. im.'!D81</f>
        <v>90000</v>
      </c>
      <c r="D18" s="88">
        <f>E18-C18</f>
        <v>-25000</v>
      </c>
      <c r="E18" s="432">
        <f>'B.pr. i prim. za nef. im.'!F81</f>
        <v>65000</v>
      </c>
      <c r="F18" s="313">
        <f t="shared" si="0"/>
        <v>72.22222222222221</v>
      </c>
    </row>
    <row r="19" spans="1:6" ht="15" customHeight="1">
      <c r="A19" s="281">
        <v>730000</v>
      </c>
      <c r="B19" s="283" t="s">
        <v>209</v>
      </c>
      <c r="C19" s="56">
        <f>C20</f>
        <v>0</v>
      </c>
      <c r="D19" s="56">
        <f>D20</f>
        <v>356528.23</v>
      </c>
      <c r="E19" s="56">
        <f>E20</f>
        <v>356528.23</v>
      </c>
      <c r="F19" s="58" t="e">
        <f t="shared" si="0"/>
        <v>#DIV/0!</v>
      </c>
    </row>
    <row r="20" spans="1:6" ht="15" customHeight="1">
      <c r="A20" s="253">
        <v>731000</v>
      </c>
      <c r="B20" s="87" t="s">
        <v>128</v>
      </c>
      <c r="C20" s="88">
        <f>'B.pr. i prim. za nef. im.'!D83</f>
        <v>0</v>
      </c>
      <c r="D20" s="88">
        <f>E20-C20</f>
        <v>356528.23</v>
      </c>
      <c r="E20" s="88">
        <f>'B.pr. i prim. za nef. im.'!F83</f>
        <v>356528.23</v>
      </c>
      <c r="F20" s="313" t="e">
        <f t="shared" si="0"/>
        <v>#DIV/0!</v>
      </c>
    </row>
    <row r="21" spans="1:8" s="2" customFormat="1" ht="15" customHeight="1">
      <c r="A21" s="281">
        <v>780000</v>
      </c>
      <c r="B21" s="252" t="s">
        <v>280</v>
      </c>
      <c r="C21" s="56">
        <f>C22</f>
        <v>1779400</v>
      </c>
      <c r="D21" s="56">
        <f>D22</f>
        <v>419936.54000000004</v>
      </c>
      <c r="E21" s="56">
        <f>E22</f>
        <v>2199336.54</v>
      </c>
      <c r="F21" s="58">
        <f t="shared" si="0"/>
        <v>123.59989547038327</v>
      </c>
      <c r="H21"/>
    </row>
    <row r="22" spans="1:8" s="2" customFormat="1" ht="15" customHeight="1">
      <c r="A22" s="253">
        <v>787000</v>
      </c>
      <c r="B22" s="69" t="s">
        <v>281</v>
      </c>
      <c r="C22" s="88">
        <f>'B.pr. i prim. za nef. im.'!D92</f>
        <v>1779400</v>
      </c>
      <c r="D22" s="88">
        <f>E22-C22</f>
        <v>419936.54000000004</v>
      </c>
      <c r="E22" s="88">
        <f>'B.pr. i prim. za nef. im.'!F92</f>
        <v>2199336.54</v>
      </c>
      <c r="F22" s="313">
        <f t="shared" si="0"/>
        <v>123.59989547038327</v>
      </c>
      <c r="H22"/>
    </row>
    <row r="23" spans="1:8" s="2" customFormat="1" ht="15" customHeight="1">
      <c r="A23" s="257"/>
      <c r="B23" s="48" t="s">
        <v>284</v>
      </c>
      <c r="C23" s="50">
        <f>C24+C33+C35</f>
        <v>21925700</v>
      </c>
      <c r="D23" s="50">
        <f>D24+D33+D35</f>
        <v>1609571.2900000012</v>
      </c>
      <c r="E23" s="50">
        <f>E24+E33+E35</f>
        <v>23535271.29</v>
      </c>
      <c r="F23" s="51">
        <f t="shared" si="0"/>
        <v>107.34102578252917</v>
      </c>
      <c r="H23"/>
    </row>
    <row r="24" spans="1:9" s="2" customFormat="1" ht="15" customHeight="1">
      <c r="A24" s="281">
        <v>410000</v>
      </c>
      <c r="B24" s="252" t="s">
        <v>229</v>
      </c>
      <c r="C24" s="56">
        <f>SUM(C25:C32)</f>
        <v>21504200</v>
      </c>
      <c r="D24" s="56">
        <f>SUM(D25:D32)</f>
        <v>1762430.8900000013</v>
      </c>
      <c r="E24" s="56">
        <f>SUM(E25:E32)</f>
        <v>23266630.89</v>
      </c>
      <c r="F24" s="58">
        <f t="shared" si="0"/>
        <v>108.19575194613145</v>
      </c>
      <c r="H24" s="1"/>
      <c r="I24" s="364"/>
    </row>
    <row r="25" spans="1:8" s="2" customFormat="1" ht="14.25" customHeight="1">
      <c r="A25" s="253">
        <v>411000</v>
      </c>
      <c r="B25" s="87" t="s">
        <v>113</v>
      </c>
      <c r="C25" s="88">
        <f>'B.rash. i izdaci za nef. im.'!C6</f>
        <v>10949800</v>
      </c>
      <c r="D25" s="88">
        <f>E25-C25</f>
        <v>-85200</v>
      </c>
      <c r="E25" s="88">
        <f>'B.rash. i izdaci za nef. im.'!E6</f>
        <v>10864600</v>
      </c>
      <c r="F25" s="313">
        <f t="shared" si="0"/>
        <v>99.22190359641272</v>
      </c>
      <c r="H25" s="1"/>
    </row>
    <row r="26" spans="1:8" s="2" customFormat="1" ht="12.75">
      <c r="A26" s="253">
        <v>412000</v>
      </c>
      <c r="B26" s="193" t="s">
        <v>114</v>
      </c>
      <c r="C26" s="88">
        <f>'B.rash. i izdaci za nef. im.'!C11</f>
        <v>3643200</v>
      </c>
      <c r="D26" s="88">
        <f aca="true" t="shared" si="2" ref="D26:D32">E26-C26</f>
        <v>734998.370000001</v>
      </c>
      <c r="E26" s="88">
        <f>'B.rash. i izdaci za nef. im.'!E11</f>
        <v>4378198.370000001</v>
      </c>
      <c r="F26" s="313">
        <f t="shared" si="0"/>
        <v>120.17452706411949</v>
      </c>
      <c r="H26"/>
    </row>
    <row r="27" spans="1:8" s="2" customFormat="1" ht="12.75">
      <c r="A27" s="253">
        <v>413000</v>
      </c>
      <c r="B27" s="61" t="s">
        <v>124</v>
      </c>
      <c r="C27" s="88">
        <f>'B.rash. i izdaci za nef. im.'!C21</f>
        <v>335000</v>
      </c>
      <c r="D27" s="88">
        <f t="shared" si="2"/>
        <v>-80000</v>
      </c>
      <c r="E27" s="88">
        <f>'B.rash. i izdaci za nef. im.'!E21</f>
        <v>255000</v>
      </c>
      <c r="F27" s="313">
        <f t="shared" si="0"/>
        <v>76.11940298507463</v>
      </c>
      <c r="H27"/>
    </row>
    <row r="28" spans="1:8" s="2" customFormat="1" ht="12.75">
      <c r="A28" s="253">
        <v>414000</v>
      </c>
      <c r="B28" s="87" t="s">
        <v>166</v>
      </c>
      <c r="C28" s="88">
        <f>'B.rash. i izdaci za nef. im.'!C25</f>
        <v>550000</v>
      </c>
      <c r="D28" s="88">
        <f t="shared" si="2"/>
        <v>0</v>
      </c>
      <c r="E28" s="88">
        <f>'B.rash. i izdaci za nef. im.'!E25</f>
        <v>550000</v>
      </c>
      <c r="F28" s="313">
        <f t="shared" si="0"/>
        <v>100</v>
      </c>
      <c r="H28"/>
    </row>
    <row r="29" spans="1:8" s="2" customFormat="1" ht="12.75">
      <c r="A29" s="253">
        <v>415000</v>
      </c>
      <c r="B29" s="193" t="s">
        <v>128</v>
      </c>
      <c r="C29" s="88">
        <f>'B.rash. i izdaci za nef. im.'!C27</f>
        <v>1515500</v>
      </c>
      <c r="D29" s="88">
        <f t="shared" si="2"/>
        <v>426754.2899999998</v>
      </c>
      <c r="E29" s="88">
        <f>'B.rash. i izdaci za nef. im.'!E27</f>
        <v>1942254.2899999998</v>
      </c>
      <c r="F29" s="313">
        <f t="shared" si="0"/>
        <v>128.1593064995051</v>
      </c>
      <c r="H29"/>
    </row>
    <row r="30" spans="1:8" s="2" customFormat="1" ht="18" customHeight="1">
      <c r="A30" s="253">
        <v>416000</v>
      </c>
      <c r="B30" s="87" t="s">
        <v>619</v>
      </c>
      <c r="C30" s="88">
        <f>'B.rash. i izdaci za nef. im.'!C29</f>
        <v>4272900</v>
      </c>
      <c r="D30" s="88">
        <f t="shared" si="2"/>
        <v>728163.2300000004</v>
      </c>
      <c r="E30" s="88">
        <f>'B.rash. i izdaci za nef. im.'!E29</f>
        <v>5001063.23</v>
      </c>
      <c r="F30" s="313">
        <f t="shared" si="0"/>
        <v>117.04142924009456</v>
      </c>
      <c r="H30"/>
    </row>
    <row r="31" spans="1:8" s="2" customFormat="1" ht="25.5">
      <c r="A31" s="253">
        <v>418000</v>
      </c>
      <c r="B31" s="87" t="s">
        <v>282</v>
      </c>
      <c r="C31" s="88">
        <f>'B.rash. i izdaci za nef. im.'!C32</f>
        <v>85300</v>
      </c>
      <c r="D31" s="88">
        <f t="shared" si="2"/>
        <v>3715</v>
      </c>
      <c r="E31" s="88">
        <f>'B.rash. i izdaci za nef. im.'!E32</f>
        <v>89015</v>
      </c>
      <c r="F31" s="313">
        <f t="shared" si="0"/>
        <v>104.35521688159437</v>
      </c>
      <c r="H31"/>
    </row>
    <row r="32" spans="1:8" s="2" customFormat="1" ht="14.25" customHeight="1">
      <c r="A32" s="253">
        <v>419000</v>
      </c>
      <c r="B32" s="87" t="s">
        <v>283</v>
      </c>
      <c r="C32" s="88">
        <f>'B.rash. i izdaci za nef. im.'!C36</f>
        <v>152500</v>
      </c>
      <c r="D32" s="88">
        <f t="shared" si="2"/>
        <v>34000</v>
      </c>
      <c r="E32" s="88">
        <f>'B.rash. i izdaci za nef. im.'!E36</f>
        <v>186500</v>
      </c>
      <c r="F32" s="313">
        <f t="shared" si="0"/>
        <v>122.29508196721311</v>
      </c>
      <c r="H32"/>
    </row>
    <row r="33" spans="1:8" s="2" customFormat="1" ht="16.5" customHeight="1">
      <c r="A33" s="281">
        <v>480000</v>
      </c>
      <c r="B33" s="252" t="s">
        <v>286</v>
      </c>
      <c r="C33" s="56">
        <f>SUM(C34)</f>
        <v>211500</v>
      </c>
      <c r="D33" s="56">
        <f>SUM(D34)</f>
        <v>27140.399999999994</v>
      </c>
      <c r="E33" s="56">
        <f>SUM(E34)</f>
        <v>238640.4</v>
      </c>
      <c r="F33" s="58">
        <f t="shared" si="0"/>
        <v>112.83234042553192</v>
      </c>
      <c r="H33"/>
    </row>
    <row r="34" spans="1:8" s="2" customFormat="1" ht="16.5" customHeight="1">
      <c r="A34" s="253">
        <v>487000</v>
      </c>
      <c r="B34" s="87" t="s">
        <v>281</v>
      </c>
      <c r="C34" s="88">
        <f>'B.rash. i izdaci za nef. im.'!C38</f>
        <v>211500</v>
      </c>
      <c r="D34" s="88">
        <f>E34-C34</f>
        <v>27140.399999999994</v>
      </c>
      <c r="E34" s="88">
        <f>'B.rash. i izdaci za nef. im.'!E38</f>
        <v>238640.4</v>
      </c>
      <c r="F34" s="313">
        <f t="shared" si="0"/>
        <v>112.83234042553192</v>
      </c>
      <c r="H34"/>
    </row>
    <row r="35" spans="1:8" s="2" customFormat="1" ht="15.75" customHeight="1">
      <c r="A35" s="281" t="s">
        <v>181</v>
      </c>
      <c r="B35" s="252" t="s">
        <v>285</v>
      </c>
      <c r="C35" s="56">
        <f>'B.rash. i izdaci za nef. im.'!C43</f>
        <v>210000</v>
      </c>
      <c r="D35" s="56">
        <f>'B.rash. i izdaci za nef. im.'!D43</f>
        <v>-180000</v>
      </c>
      <c r="E35" s="56">
        <f>'B.rash. i izdaci za nef. im.'!E43</f>
        <v>30000</v>
      </c>
      <c r="F35" s="58">
        <f t="shared" si="0"/>
        <v>14.285714285714285</v>
      </c>
      <c r="H35"/>
    </row>
    <row r="36" spans="1:8" s="2" customFormat="1" ht="16.5" customHeight="1">
      <c r="A36" s="257"/>
      <c r="B36" s="43" t="s">
        <v>230</v>
      </c>
      <c r="C36" s="44">
        <f>C5-C23</f>
        <v>3287300</v>
      </c>
      <c r="D36" s="44">
        <f>D5-D23</f>
        <v>-129586.52000000118</v>
      </c>
      <c r="E36" s="44">
        <f>E5-E23</f>
        <v>3157713.4800000004</v>
      </c>
      <c r="F36" s="45">
        <f t="shared" si="0"/>
        <v>96.05796489520276</v>
      </c>
      <c r="H36"/>
    </row>
    <row r="37" spans="1:8" s="2" customFormat="1" ht="16.5" customHeight="1">
      <c r="A37" s="257"/>
      <c r="B37" s="284" t="s">
        <v>231</v>
      </c>
      <c r="C37" s="50">
        <f>C38-C43</f>
        <v>-3063900</v>
      </c>
      <c r="D37" s="50">
        <f>D38-D43</f>
        <v>-2214906.3899999997</v>
      </c>
      <c r="E37" s="50">
        <f>E38-E43</f>
        <v>-5278806.390000001</v>
      </c>
      <c r="F37" s="51" t="s">
        <v>248</v>
      </c>
      <c r="H37"/>
    </row>
    <row r="38" spans="1:6" ht="13.5" customHeight="1">
      <c r="A38" s="281">
        <v>810000</v>
      </c>
      <c r="B38" s="252" t="s">
        <v>211</v>
      </c>
      <c r="C38" s="56">
        <f>SUM(C39:C42)</f>
        <v>722000</v>
      </c>
      <c r="D38" s="56">
        <f>SUM(D39:D42)</f>
        <v>15015.230000000003</v>
      </c>
      <c r="E38" s="56">
        <f>SUM(E39:E42)</f>
        <v>737015.23</v>
      </c>
      <c r="F38" s="58">
        <f aca="true" t="shared" si="3" ref="F38:F47">E38/C38*100</f>
        <v>102.07967174515235</v>
      </c>
    </row>
    <row r="39" spans="1:8" ht="13.5" customHeight="1">
      <c r="A39" s="456">
        <v>811200</v>
      </c>
      <c r="B39" s="399" t="s">
        <v>163</v>
      </c>
      <c r="C39" s="112">
        <f>'B.pr. i prim. za nef. im.'!D108</f>
        <v>0</v>
      </c>
      <c r="D39" s="112">
        <f>'B.pr. i prim. za nef. im.'!E108</f>
        <v>2120</v>
      </c>
      <c r="E39" s="112">
        <f>'B.pr. i prim. za nef. im.'!F108</f>
        <v>2120</v>
      </c>
      <c r="F39" s="313" t="e">
        <f t="shared" si="3"/>
        <v>#DIV/0!</v>
      </c>
      <c r="H39" s="1"/>
    </row>
    <row r="40" spans="1:6" ht="14.25" customHeight="1">
      <c r="A40" s="253">
        <v>813000</v>
      </c>
      <c r="B40" s="69" t="s">
        <v>150</v>
      </c>
      <c r="C40" s="88">
        <f>'B.pr. i prim. za nef. im.'!D110</f>
        <v>680000</v>
      </c>
      <c r="D40" s="88">
        <f>E40-C40</f>
        <v>0</v>
      </c>
      <c r="E40" s="88">
        <f>'B.pr. i prim. za nef. im.'!F110</f>
        <v>680000</v>
      </c>
      <c r="F40" s="313">
        <f t="shared" si="3"/>
        <v>100</v>
      </c>
    </row>
    <row r="41" spans="1:6" ht="26.25" customHeight="1">
      <c r="A41" s="253">
        <v>814000</v>
      </c>
      <c r="B41" s="399" t="s">
        <v>527</v>
      </c>
      <c r="C41" s="88">
        <f>'B.pr. i prim. za nef. im.'!D112</f>
        <v>0</v>
      </c>
      <c r="D41" s="88">
        <f>E41-C41</f>
        <v>0</v>
      </c>
      <c r="E41" s="88">
        <f>'B.pr. i prim. za nef. im.'!F112</f>
        <v>0</v>
      </c>
      <c r="F41" s="313" t="e">
        <f t="shared" si="3"/>
        <v>#DIV/0!</v>
      </c>
    </row>
    <row r="42" spans="1:6" ht="29.25" customHeight="1">
      <c r="A42" s="253">
        <v>816000</v>
      </c>
      <c r="B42" s="69" t="s">
        <v>232</v>
      </c>
      <c r="C42" s="88">
        <f>'B.pr. i prim. za nef. im.'!D114</f>
        <v>42000</v>
      </c>
      <c r="D42" s="88">
        <f>E42-C42</f>
        <v>12895.230000000003</v>
      </c>
      <c r="E42" s="88">
        <f>'B.pr. i prim. za nef. im.'!F114</f>
        <v>54895.23</v>
      </c>
      <c r="F42" s="313">
        <f t="shared" si="3"/>
        <v>130.70292857142857</v>
      </c>
    </row>
    <row r="43" spans="1:6" ht="16.5" customHeight="1">
      <c r="A43" s="281">
        <v>510000</v>
      </c>
      <c r="B43" s="252" t="s">
        <v>233</v>
      </c>
      <c r="C43" s="56">
        <f>SUM(C44:C46)</f>
        <v>3785900</v>
      </c>
      <c r="D43" s="56">
        <f>SUM(D44:D46)</f>
        <v>2229921.6199999996</v>
      </c>
      <c r="E43" s="56">
        <f>SUM(E44:E46)</f>
        <v>6015821.62</v>
      </c>
      <c r="F43" s="58">
        <f t="shared" si="3"/>
        <v>158.90070049393802</v>
      </c>
    </row>
    <row r="44" spans="1:6" ht="12.75">
      <c r="A44" s="253">
        <v>511000</v>
      </c>
      <c r="B44" s="69" t="s">
        <v>132</v>
      </c>
      <c r="C44" s="88">
        <f>'B.rash. i izdaci za nef. im.'!C45</f>
        <v>3224200</v>
      </c>
      <c r="D44" s="88">
        <f>E44-C44</f>
        <v>2255268.1399999997</v>
      </c>
      <c r="E44" s="88">
        <f>'B.rash. i izdaci za nef. im.'!E45</f>
        <v>5479468.14</v>
      </c>
      <c r="F44" s="313">
        <f t="shared" si="3"/>
        <v>169.94814651696544</v>
      </c>
    </row>
    <row r="45" spans="1:6" ht="12.75">
      <c r="A45" s="285">
        <v>513000</v>
      </c>
      <c r="B45" s="193" t="s">
        <v>157</v>
      </c>
      <c r="C45" s="88">
        <f>'B.rash. i izdaci za nef. im.'!C51</f>
        <v>150000</v>
      </c>
      <c r="D45" s="88">
        <f>E45-C45</f>
        <v>-29346.520000000004</v>
      </c>
      <c r="E45" s="88">
        <f>'B.rash. i izdaci za nef. im.'!E51</f>
        <v>120653.48</v>
      </c>
      <c r="F45" s="313">
        <f t="shared" si="3"/>
        <v>80.43565333333333</v>
      </c>
    </row>
    <row r="46" spans="1:6" ht="12.75">
      <c r="A46" s="285">
        <v>516000</v>
      </c>
      <c r="B46" s="87" t="s">
        <v>270</v>
      </c>
      <c r="C46" s="88">
        <f>'B.rash. i izdaci za nef. im.'!C54</f>
        <v>411700</v>
      </c>
      <c r="D46" s="88">
        <f>E46-C46</f>
        <v>4000</v>
      </c>
      <c r="E46" s="88">
        <f>'B.rash. i izdaci za nef. im.'!E54</f>
        <v>415700</v>
      </c>
      <c r="F46" s="313">
        <f t="shared" si="3"/>
        <v>100.97158124848191</v>
      </c>
    </row>
    <row r="47" spans="1:6" ht="18.75" customHeight="1">
      <c r="A47" s="285"/>
      <c r="B47" s="43" t="s">
        <v>234</v>
      </c>
      <c r="C47" s="44">
        <f>C36+C37</f>
        <v>223400</v>
      </c>
      <c r="D47" s="44">
        <f>D36+D37</f>
        <v>-2344492.910000001</v>
      </c>
      <c r="E47" s="44">
        <f>E36+E37</f>
        <v>-2121092.91</v>
      </c>
      <c r="F47" s="45">
        <f t="shared" si="3"/>
        <v>-949.4596732318712</v>
      </c>
    </row>
    <row r="48" spans="1:6" ht="15.75" customHeight="1">
      <c r="A48" s="285"/>
      <c r="B48" s="48" t="s">
        <v>287</v>
      </c>
      <c r="C48" s="50">
        <f>C49+C54+C60+C67</f>
        <v>-223400</v>
      </c>
      <c r="D48" s="50">
        <f>D49+D54+D60+D67</f>
        <v>2344492.91</v>
      </c>
      <c r="E48" s="50">
        <f>E49+E54+E60+E67</f>
        <v>2121092.91</v>
      </c>
      <c r="F48" s="51" t="s">
        <v>248</v>
      </c>
    </row>
    <row r="49" spans="1:6" ht="17.25" customHeight="1">
      <c r="A49" s="285"/>
      <c r="B49" s="48" t="s">
        <v>235</v>
      </c>
      <c r="C49" s="50">
        <f>C50-C52</f>
        <v>0</v>
      </c>
      <c r="D49" s="50">
        <f>D50-D52</f>
        <v>0</v>
      </c>
      <c r="E49" s="50">
        <f>E50-E52</f>
        <v>0</v>
      </c>
      <c r="F49" s="51" t="e">
        <f aca="true" t="shared" si="4" ref="F49:F59">E49/C49*100</f>
        <v>#DIV/0!</v>
      </c>
    </row>
    <row r="50" spans="1:6" ht="15" customHeight="1">
      <c r="A50" s="281">
        <v>910000</v>
      </c>
      <c r="B50" s="252" t="s">
        <v>236</v>
      </c>
      <c r="C50" s="56">
        <f>SUM(C51)</f>
        <v>0</v>
      </c>
      <c r="D50" s="56">
        <f>SUM(D51)</f>
        <v>0</v>
      </c>
      <c r="E50" s="56">
        <f>SUM(E51)</f>
        <v>0</v>
      </c>
      <c r="F50" s="58" t="e">
        <f t="shared" si="4"/>
        <v>#DIV/0!</v>
      </c>
    </row>
    <row r="51" spans="1:6" ht="14.25" customHeight="1">
      <c r="A51" s="253">
        <v>911000</v>
      </c>
      <c r="B51" s="156" t="s">
        <v>237</v>
      </c>
      <c r="C51" s="62">
        <f>Finansiranje!C6</f>
        <v>0</v>
      </c>
      <c r="D51" s="62">
        <f>E51-C51</f>
        <v>0</v>
      </c>
      <c r="E51" s="62">
        <f>Finansiranje!E6</f>
        <v>0</v>
      </c>
      <c r="F51" s="76" t="e">
        <f t="shared" si="4"/>
        <v>#DIV/0!</v>
      </c>
    </row>
    <row r="52" spans="1:6" ht="14.25" customHeight="1">
      <c r="A52" s="281">
        <v>610000</v>
      </c>
      <c r="B52" s="252" t="s">
        <v>238</v>
      </c>
      <c r="C52" s="56">
        <f>SUM(C53)</f>
        <v>0</v>
      </c>
      <c r="D52" s="56">
        <f>SUM(D53)</f>
        <v>0</v>
      </c>
      <c r="E52" s="56">
        <f>SUM(E53)</f>
        <v>0</v>
      </c>
      <c r="F52" s="58" t="e">
        <f t="shared" si="4"/>
        <v>#DIV/0!</v>
      </c>
    </row>
    <row r="53" spans="1:6" ht="14.25" customHeight="1">
      <c r="A53" s="253">
        <v>611000</v>
      </c>
      <c r="B53" s="156" t="s">
        <v>239</v>
      </c>
      <c r="C53" s="62">
        <f>Finansiranje!C8</f>
        <v>0</v>
      </c>
      <c r="D53" s="62">
        <f>E53-C53</f>
        <v>0</v>
      </c>
      <c r="E53" s="62">
        <f>Finansiranje!E8</f>
        <v>0</v>
      </c>
      <c r="F53" s="76" t="e">
        <f t="shared" si="4"/>
        <v>#DIV/0!</v>
      </c>
    </row>
    <row r="54" spans="1:6" ht="14.25" customHeight="1">
      <c r="A54" s="253"/>
      <c r="B54" s="48" t="s">
        <v>240</v>
      </c>
      <c r="C54" s="50">
        <f>C55-C57</f>
        <v>-512000</v>
      </c>
      <c r="D54" s="50">
        <f>D55-D57</f>
        <v>2090592.37</v>
      </c>
      <c r="E54" s="50">
        <f>E55-E57</f>
        <v>1578592.37</v>
      </c>
      <c r="F54" s="51">
        <f t="shared" si="4"/>
        <v>-308.318822265625</v>
      </c>
    </row>
    <row r="55" spans="1:6" ht="15" customHeight="1">
      <c r="A55" s="281">
        <v>920000</v>
      </c>
      <c r="B55" s="252" t="s">
        <v>243</v>
      </c>
      <c r="C55" s="56">
        <f>SUM(C56)</f>
        <v>1300000</v>
      </c>
      <c r="D55" s="56">
        <f>SUM(D56)</f>
        <v>1483592.37</v>
      </c>
      <c r="E55" s="56">
        <f>SUM(E56)</f>
        <v>2783592.37</v>
      </c>
      <c r="F55" s="58">
        <f t="shared" si="4"/>
        <v>214.12249</v>
      </c>
    </row>
    <row r="56" spans="1:6" ht="14.25" customHeight="1">
      <c r="A56" s="253">
        <v>921000</v>
      </c>
      <c r="B56" s="69" t="s">
        <v>367</v>
      </c>
      <c r="C56" s="88">
        <f>Finansiranje!C11</f>
        <v>1300000</v>
      </c>
      <c r="D56" s="88">
        <f>E56-C56</f>
        <v>1483592.37</v>
      </c>
      <c r="E56" s="88">
        <f>Finansiranje!E11</f>
        <v>2783592.37</v>
      </c>
      <c r="F56" s="313">
        <f t="shared" si="4"/>
        <v>214.12249</v>
      </c>
    </row>
    <row r="57" spans="1:6" ht="14.25" customHeight="1">
      <c r="A57" s="281">
        <v>620000</v>
      </c>
      <c r="B57" s="252" t="s">
        <v>241</v>
      </c>
      <c r="C57" s="56">
        <f>SUM(C58:C59)</f>
        <v>1812000</v>
      </c>
      <c r="D57" s="56">
        <f>SUM(D58:D59)</f>
        <v>-607000</v>
      </c>
      <c r="E57" s="56">
        <f>SUM(E58:E59)</f>
        <v>1205000</v>
      </c>
      <c r="F57" s="58">
        <f t="shared" si="4"/>
        <v>66.50110375275938</v>
      </c>
    </row>
    <row r="58" spans="1:6" ht="15.75" customHeight="1">
      <c r="A58" s="253">
        <v>621000</v>
      </c>
      <c r="B58" s="69" t="s">
        <v>368</v>
      </c>
      <c r="C58" s="88">
        <f>Finansiranje!C14</f>
        <v>1632000</v>
      </c>
      <c r="D58" s="88">
        <f>E58-C58</f>
        <v>-607000</v>
      </c>
      <c r="E58" s="88">
        <f>Finansiranje!E14</f>
        <v>1025000</v>
      </c>
      <c r="F58" s="313">
        <f t="shared" si="4"/>
        <v>62.806372549019606</v>
      </c>
    </row>
    <row r="59" spans="1:6" ht="25.5">
      <c r="A59" s="253">
        <v>628000</v>
      </c>
      <c r="B59" s="69" t="s">
        <v>363</v>
      </c>
      <c r="C59" s="88">
        <f>Finansiranje!C17</f>
        <v>180000</v>
      </c>
      <c r="D59" s="88">
        <f>E59-C59</f>
        <v>0</v>
      </c>
      <c r="E59" s="88">
        <f>Finansiranje!E17</f>
        <v>180000</v>
      </c>
      <c r="F59" s="313">
        <f t="shared" si="4"/>
        <v>100</v>
      </c>
    </row>
    <row r="60" spans="1:6" ht="14.25" customHeight="1">
      <c r="A60" s="253"/>
      <c r="B60" s="48" t="s">
        <v>288</v>
      </c>
      <c r="C60" s="50">
        <f>C61-C64</f>
        <v>-31400</v>
      </c>
      <c r="D60" s="50">
        <f>D61-D64</f>
        <v>-263723.94</v>
      </c>
      <c r="E60" s="50">
        <f>E61-E64</f>
        <v>-295123.94000000006</v>
      </c>
      <c r="F60" s="51" t="s">
        <v>248</v>
      </c>
    </row>
    <row r="61" spans="1:6" ht="14.25" customHeight="1">
      <c r="A61" s="281">
        <v>930000</v>
      </c>
      <c r="B61" s="252" t="s">
        <v>289</v>
      </c>
      <c r="C61" s="56">
        <f>SUM(C62:C63)</f>
        <v>365000</v>
      </c>
      <c r="D61" s="56">
        <f>SUM(D62:D63)</f>
        <v>-16216.849999999977</v>
      </c>
      <c r="E61" s="56">
        <f>SUM(E62:E63)</f>
        <v>348783.15</v>
      </c>
      <c r="F61" s="58">
        <f aca="true" t="shared" si="5" ref="F61:F67">E61/C61*100</f>
        <v>95.55702739726028</v>
      </c>
    </row>
    <row r="62" spans="1:6" ht="14.25" customHeight="1">
      <c r="A62" s="253">
        <v>931000</v>
      </c>
      <c r="B62" s="69" t="s">
        <v>290</v>
      </c>
      <c r="C62" s="62">
        <f>Finansiranje!C21</f>
        <v>35000</v>
      </c>
      <c r="D62" s="62">
        <f>E62-C62</f>
        <v>500</v>
      </c>
      <c r="E62" s="62">
        <f>Finansiranje!E21</f>
        <v>35500</v>
      </c>
      <c r="F62" s="313">
        <f t="shared" si="5"/>
        <v>101.42857142857142</v>
      </c>
    </row>
    <row r="63" spans="1:6" ht="12.75">
      <c r="A63" s="253">
        <v>938000</v>
      </c>
      <c r="B63" s="69" t="s">
        <v>331</v>
      </c>
      <c r="C63" s="88">
        <f>Finansiranje!C23</f>
        <v>330000</v>
      </c>
      <c r="D63" s="62">
        <f>E63-C63</f>
        <v>-16716.849999999977</v>
      </c>
      <c r="E63" s="88">
        <f>Finansiranje!E23</f>
        <v>313283.15</v>
      </c>
      <c r="F63" s="313">
        <f t="shared" si="5"/>
        <v>94.93428787878788</v>
      </c>
    </row>
    <row r="64" spans="1:6" ht="14.25" customHeight="1">
      <c r="A64" s="281">
        <v>630000</v>
      </c>
      <c r="B64" s="252" t="s">
        <v>291</v>
      </c>
      <c r="C64" s="56">
        <f>SUM(C65:C66)</f>
        <v>396400</v>
      </c>
      <c r="D64" s="56">
        <f>SUM(D65:D66)</f>
        <v>247507.09000000003</v>
      </c>
      <c r="E64" s="56">
        <f>SUM(E65:E66)</f>
        <v>643907.0900000001</v>
      </c>
      <c r="F64" s="58">
        <f t="shared" si="5"/>
        <v>162.43872098890014</v>
      </c>
    </row>
    <row r="65" spans="1:6" ht="14.25" customHeight="1">
      <c r="A65" s="253">
        <v>631000</v>
      </c>
      <c r="B65" s="69" t="s">
        <v>292</v>
      </c>
      <c r="C65" s="88">
        <f>Finansiranje!C27</f>
        <v>79600</v>
      </c>
      <c r="D65" s="88">
        <f>E65-C65</f>
        <v>213500</v>
      </c>
      <c r="E65" s="88">
        <f>Finansiranje!E27</f>
        <v>293100</v>
      </c>
      <c r="F65" s="313">
        <f t="shared" si="5"/>
        <v>368.21608040201005</v>
      </c>
    </row>
    <row r="66" spans="1:6" ht="14.25" customHeight="1">
      <c r="A66" s="253">
        <v>638000</v>
      </c>
      <c r="B66" s="69" t="s">
        <v>297</v>
      </c>
      <c r="C66" s="88">
        <f>Finansiranje!C31</f>
        <v>316800</v>
      </c>
      <c r="D66" s="88">
        <f>E66-C66</f>
        <v>34007.090000000026</v>
      </c>
      <c r="E66" s="88">
        <f>Finansiranje!E31</f>
        <v>350807.09</v>
      </c>
      <c r="F66" s="313">
        <f t="shared" si="5"/>
        <v>110.73456123737375</v>
      </c>
    </row>
    <row r="67" spans="1:6" ht="21.75" customHeight="1">
      <c r="A67" s="253"/>
      <c r="B67" s="91" t="s">
        <v>386</v>
      </c>
      <c r="C67" s="50">
        <f>Finansiranje!C34</f>
        <v>320000</v>
      </c>
      <c r="D67" s="50">
        <f>Finansiranje!D34</f>
        <v>517624.48000000004</v>
      </c>
      <c r="E67" s="50">
        <f>Finansiranje!E34</f>
        <v>837624.48</v>
      </c>
      <c r="F67" s="314">
        <f t="shared" si="5"/>
        <v>261.75764999999996</v>
      </c>
    </row>
    <row r="68" spans="1:6" ht="20.25" customHeight="1" thickBot="1">
      <c r="A68" s="278"/>
      <c r="B68" s="95" t="s">
        <v>293</v>
      </c>
      <c r="C68" s="96">
        <f>C47+C48</f>
        <v>0</v>
      </c>
      <c r="D68" s="96">
        <f>D47+D48</f>
        <v>0</v>
      </c>
      <c r="E68" s="96">
        <f>E47+E48</f>
        <v>0</v>
      </c>
      <c r="F68" s="98" t="s">
        <v>248</v>
      </c>
    </row>
    <row r="69" spans="1:6" ht="20.25" customHeight="1" thickTop="1">
      <c r="A69" s="108"/>
      <c r="B69" s="109"/>
      <c r="C69" s="110"/>
      <c r="D69" s="110"/>
      <c r="E69" s="110"/>
      <c r="F69" s="111"/>
    </row>
    <row r="70" spans="1:6" ht="17.25" customHeight="1">
      <c r="A70" s="23"/>
      <c r="B70" s="21"/>
      <c r="C70" s="24"/>
      <c r="D70" s="24"/>
      <c r="E70" s="24"/>
      <c r="F70" s="24"/>
    </row>
    <row r="71" spans="1:6" ht="18.75" customHeight="1">
      <c r="A71" s="3"/>
      <c r="B71" s="391"/>
      <c r="C71" s="391"/>
      <c r="D71" s="391"/>
      <c r="E71" s="391"/>
      <c r="F71" s="21"/>
    </row>
    <row r="72" spans="1:6" ht="16.5" customHeight="1">
      <c r="A72" s="3"/>
      <c r="B72" s="391"/>
      <c r="C72" s="391"/>
      <c r="D72" s="391"/>
      <c r="E72" s="391"/>
      <c r="F72" s="21"/>
    </row>
    <row r="73" spans="1:6" ht="19.5" customHeight="1">
      <c r="A73" s="4"/>
      <c r="B73" s="397"/>
      <c r="C73" s="397"/>
      <c r="D73" s="397"/>
      <c r="E73" s="397"/>
      <c r="F73" s="24"/>
    </row>
    <row r="74" spans="1:2" ht="15.75" customHeight="1">
      <c r="A74" s="24"/>
      <c r="B74" s="24"/>
    </row>
    <row r="75" spans="1:5" ht="12.75">
      <c r="A75" s="24"/>
      <c r="B75" s="24"/>
      <c r="C75" s="24"/>
      <c r="D75" s="24"/>
      <c r="E75" s="24"/>
    </row>
    <row r="76" spans="1:6" ht="17.25" customHeight="1">
      <c r="A76" s="24"/>
      <c r="B76" s="24"/>
      <c r="C76" s="24"/>
      <c r="D76" s="24"/>
      <c r="E76" s="24"/>
      <c r="F76" s="24"/>
    </row>
    <row r="77" spans="1:6" ht="12.75">
      <c r="A77" s="24"/>
      <c r="B77" s="24"/>
      <c r="C77" s="24"/>
      <c r="D77" s="24"/>
      <c r="E77" s="24"/>
      <c r="F77" s="24"/>
    </row>
    <row r="78" spans="1:6" ht="12.75">
      <c r="A78" s="24"/>
      <c r="B78" s="24"/>
      <c r="C78" s="24"/>
      <c r="D78" s="24"/>
      <c r="E78" s="24"/>
      <c r="F78" s="24"/>
    </row>
    <row r="79" spans="1:6" ht="12.75">
      <c r="A79" s="24"/>
      <c r="B79" s="24"/>
      <c r="C79" s="24"/>
      <c r="D79" s="24"/>
      <c r="E79" s="24"/>
      <c r="F79" s="24"/>
    </row>
    <row r="80" spans="1:2" ht="14.25" customHeight="1">
      <c r="A80" s="24"/>
      <c r="B80" s="24"/>
    </row>
    <row r="81" spans="1:4" ht="16.5" customHeight="1">
      <c r="A81" s="24"/>
      <c r="B81" s="24"/>
      <c r="D81" s="24"/>
    </row>
    <row r="82" spans="1:2" ht="12.75">
      <c r="A82" s="24"/>
      <c r="B82" s="24"/>
    </row>
    <row r="83" spans="1:2" ht="12.75">
      <c r="A83" s="24"/>
      <c r="B83" s="24"/>
    </row>
    <row r="84" spans="1:5" ht="15" customHeight="1">
      <c r="A84" s="24"/>
      <c r="B84" s="24"/>
      <c r="E84" s="24"/>
    </row>
    <row r="85" spans="1:4" ht="12.75">
      <c r="A85" s="24"/>
      <c r="B85" s="24"/>
      <c r="D85" s="24"/>
    </row>
    <row r="86" spans="1:2" ht="26.25" customHeight="1">
      <c r="A86" s="24"/>
      <c r="B86" s="24"/>
    </row>
    <row r="87" spans="1:2" ht="12.75">
      <c r="A87" s="24"/>
      <c r="B87" s="24"/>
    </row>
    <row r="88" spans="1:2" ht="12.75">
      <c r="A88" s="24"/>
      <c r="B88" s="24"/>
    </row>
    <row r="89" spans="1:2" ht="12.75">
      <c r="A89" s="24"/>
      <c r="B89" s="24"/>
    </row>
    <row r="90" spans="1:2" ht="12.75">
      <c r="A90" s="24"/>
      <c r="B90" s="24"/>
    </row>
    <row r="91" spans="1:2" ht="12.75">
      <c r="A91" s="24"/>
      <c r="B91" s="24"/>
    </row>
    <row r="92" spans="1:2" ht="12.75">
      <c r="A92" s="24"/>
      <c r="B92" s="24"/>
    </row>
    <row r="93" spans="1:2" ht="15.75" customHeight="1">
      <c r="A93" s="24"/>
      <c r="B93" s="24"/>
    </row>
    <row r="94" spans="1:7" ht="12.75">
      <c r="A94" s="24"/>
      <c r="B94" s="24"/>
      <c r="G94" s="2"/>
    </row>
    <row r="95" spans="1:2" ht="12.75">
      <c r="A95" s="24"/>
      <c r="B95" s="24"/>
    </row>
    <row r="96" spans="1:2" ht="12.75">
      <c r="A96" s="24"/>
      <c r="B96" s="24"/>
    </row>
    <row r="97" spans="1:2" ht="12.75" customHeight="1">
      <c r="A97" s="24"/>
      <c r="B97" s="24"/>
    </row>
    <row r="98" spans="1:2" ht="12.75">
      <c r="A98" s="24"/>
      <c r="B98" s="24"/>
    </row>
    <row r="99" spans="1:2" ht="12.75">
      <c r="A99" s="24"/>
      <c r="B99" s="24"/>
    </row>
    <row r="100" spans="1:2" ht="12.75">
      <c r="A100" s="24"/>
      <c r="B100" s="24"/>
    </row>
    <row r="101" spans="1:2" ht="12.75">
      <c r="A101" s="24"/>
      <c r="B101" s="24"/>
    </row>
    <row r="102" spans="1:2" ht="12.75">
      <c r="A102" s="24"/>
      <c r="B102" s="24"/>
    </row>
    <row r="103" spans="1:2" ht="12.75">
      <c r="A103" s="24"/>
      <c r="B103" s="24"/>
    </row>
    <row r="104" spans="1:2" ht="12.75">
      <c r="A104" s="24"/>
      <c r="B104" s="24"/>
    </row>
    <row r="105" spans="1:2" ht="12.75">
      <c r="A105" s="24"/>
      <c r="B105" s="24"/>
    </row>
    <row r="106" spans="1:2" ht="12.75">
      <c r="A106" s="24"/>
      <c r="B106" s="24"/>
    </row>
    <row r="107" spans="1:2" ht="12.75">
      <c r="A107" s="24"/>
      <c r="B107" s="24"/>
    </row>
    <row r="108" spans="1:2" ht="12.75">
      <c r="A108" s="24"/>
      <c r="B108" s="24"/>
    </row>
    <row r="109" spans="1:2" ht="12.75">
      <c r="A109" s="24"/>
      <c r="B109" s="24"/>
    </row>
    <row r="110" spans="1:7" s="22" customFormat="1" ht="12.75">
      <c r="A110" s="24"/>
      <c r="B110" s="24"/>
      <c r="G110"/>
    </row>
    <row r="111" spans="1:7" s="22" customFormat="1" ht="12.75">
      <c r="A111" s="24"/>
      <c r="B111" s="24"/>
      <c r="G111"/>
    </row>
    <row r="112" spans="1:7" s="22" customFormat="1" ht="12.75">
      <c r="A112" s="24"/>
      <c r="B112" s="24"/>
      <c r="G112"/>
    </row>
    <row r="113" spans="1:7" s="22" customFormat="1" ht="12.75">
      <c r="A113" s="24"/>
      <c r="B113" s="24"/>
      <c r="G113"/>
    </row>
    <row r="114" spans="1:7" s="22" customFormat="1" ht="12.75">
      <c r="A114" s="24"/>
      <c r="B114" s="24"/>
      <c r="G114"/>
    </row>
    <row r="115" spans="1:7" s="22" customFormat="1" ht="12.75">
      <c r="A115" s="24"/>
      <c r="B115" s="24"/>
      <c r="G115"/>
    </row>
    <row r="116" spans="1:7" s="22" customFormat="1" ht="12.75">
      <c r="A116" s="24"/>
      <c r="B116" s="24"/>
      <c r="G116"/>
    </row>
    <row r="117" spans="1:7" s="22" customFormat="1" ht="12.75">
      <c r="A117" s="24"/>
      <c r="B117" s="24"/>
      <c r="G117"/>
    </row>
    <row r="118" spans="1:7" s="22" customFormat="1" ht="12.75">
      <c r="A118" s="24"/>
      <c r="B118" s="24"/>
      <c r="G118"/>
    </row>
    <row r="119" spans="1:7" s="22" customFormat="1" ht="12.75">
      <c r="A119" s="24"/>
      <c r="B119" s="24"/>
      <c r="G119"/>
    </row>
    <row r="120" spans="1:7" s="22" customFormat="1" ht="12.75">
      <c r="A120" s="24"/>
      <c r="B120" s="24"/>
      <c r="G120"/>
    </row>
    <row r="121" spans="1:7" s="22" customFormat="1" ht="12.75">
      <c r="A121" s="24"/>
      <c r="B121" s="24"/>
      <c r="G121"/>
    </row>
    <row r="122" spans="1:7" s="22" customFormat="1" ht="12.75">
      <c r="A122" s="24"/>
      <c r="B122" s="24"/>
      <c r="G122"/>
    </row>
    <row r="123" spans="1:7" s="22" customFormat="1" ht="12.75">
      <c r="A123" s="24"/>
      <c r="B123" s="24"/>
      <c r="G123"/>
    </row>
    <row r="124" spans="1:7" s="22" customFormat="1" ht="12.75">
      <c r="A124" s="24"/>
      <c r="B124" s="24"/>
      <c r="G124"/>
    </row>
    <row r="125" spans="1:7" s="22" customFormat="1" ht="12.75">
      <c r="A125" s="24"/>
      <c r="B125" s="24"/>
      <c r="G125"/>
    </row>
    <row r="126" spans="1:7" s="22" customFormat="1" ht="12.75">
      <c r="A126" s="24"/>
      <c r="B126" s="24"/>
      <c r="G126"/>
    </row>
    <row r="127" spans="1:7" s="22" customFormat="1" ht="12.75">
      <c r="A127" s="24"/>
      <c r="B127" s="24"/>
      <c r="G127"/>
    </row>
    <row r="128" spans="1:7" s="22" customFormat="1" ht="12.75">
      <c r="A128" s="24"/>
      <c r="B128" s="24"/>
      <c r="G128"/>
    </row>
    <row r="129" spans="1:7" s="22" customFormat="1" ht="12.75">
      <c r="A129" s="24"/>
      <c r="B129" s="24"/>
      <c r="G129"/>
    </row>
    <row r="130" spans="1:7" s="22" customFormat="1" ht="12.75">
      <c r="A130" s="24"/>
      <c r="B130" s="24"/>
      <c r="G130"/>
    </row>
    <row r="131" spans="1:7" s="22" customFormat="1" ht="12.75">
      <c r="A131" s="24"/>
      <c r="B131" s="24"/>
      <c r="G131"/>
    </row>
    <row r="132" spans="1:7" s="22" customFormat="1" ht="12.75">
      <c r="A132" s="24"/>
      <c r="B132" s="24"/>
      <c r="G132"/>
    </row>
    <row r="133" spans="1:7" s="22" customFormat="1" ht="12.75">
      <c r="A133" s="24"/>
      <c r="B133" s="24"/>
      <c r="G133"/>
    </row>
    <row r="134" spans="1:7" s="22" customFormat="1" ht="12.75">
      <c r="A134" s="24"/>
      <c r="B134" s="24"/>
      <c r="G134"/>
    </row>
    <row r="135" spans="1:7" s="22" customFormat="1" ht="12.75">
      <c r="A135" s="24"/>
      <c r="B135" s="24"/>
      <c r="G135"/>
    </row>
    <row r="136" spans="1:7" s="22" customFormat="1" ht="12.75">
      <c r="A136" s="24"/>
      <c r="B136" s="24"/>
      <c r="G136"/>
    </row>
    <row r="137" spans="1:7" s="22" customFormat="1" ht="12.75">
      <c r="A137" s="24"/>
      <c r="B137" s="24"/>
      <c r="G137"/>
    </row>
    <row r="138" spans="1:7" s="22" customFormat="1" ht="12.75">
      <c r="A138" s="24"/>
      <c r="B138" s="24"/>
      <c r="G138"/>
    </row>
    <row r="139" spans="1:7" s="22" customFormat="1" ht="12.75">
      <c r="A139" s="24"/>
      <c r="B139" s="24"/>
      <c r="G139"/>
    </row>
    <row r="140" spans="1:7" s="22" customFormat="1" ht="12.75">
      <c r="A140" s="24"/>
      <c r="B140" s="24"/>
      <c r="G140"/>
    </row>
    <row r="141" spans="1:7" s="22" customFormat="1" ht="12.75">
      <c r="A141" s="24"/>
      <c r="B141" s="24"/>
      <c r="G141"/>
    </row>
    <row r="142" spans="1:6" ht="12.75">
      <c r="A142" s="24"/>
      <c r="B142" s="3"/>
      <c r="C142" s="24"/>
      <c r="D142" s="24"/>
      <c r="E142" s="24"/>
      <c r="F142" s="24"/>
    </row>
    <row r="143" spans="1:6" ht="12.75">
      <c r="A143" s="4"/>
      <c r="B143" s="3"/>
      <c r="C143" s="24"/>
      <c r="D143" s="24"/>
      <c r="E143" s="24"/>
      <c r="F143" s="24"/>
    </row>
    <row r="144" spans="1:6" ht="12.75">
      <c r="A144" s="4"/>
      <c r="B144" s="3"/>
      <c r="C144" s="24"/>
      <c r="D144" s="24"/>
      <c r="E144" s="24"/>
      <c r="F144" s="24"/>
    </row>
    <row r="145" spans="1:6" ht="12.75">
      <c r="A145" s="4"/>
      <c r="B145" s="3"/>
      <c r="C145" s="24"/>
      <c r="D145" s="24"/>
      <c r="E145" s="24"/>
      <c r="F145" s="24"/>
    </row>
    <row r="146" spans="1:6" ht="12.75">
      <c r="A146" s="4"/>
      <c r="B146" s="3"/>
      <c r="C146" s="24"/>
      <c r="D146" s="24"/>
      <c r="E146" s="24"/>
      <c r="F146" s="24"/>
    </row>
    <row r="147" spans="1:6" ht="12.75">
      <c r="A147" s="4"/>
      <c r="B147" s="3"/>
      <c r="C147" s="24"/>
      <c r="D147" s="24"/>
      <c r="E147" s="24"/>
      <c r="F147" s="24"/>
    </row>
    <row r="148" spans="1:6" ht="12.75">
      <c r="A148" s="4"/>
      <c r="B148" s="3"/>
      <c r="C148" s="24"/>
      <c r="D148" s="24"/>
      <c r="E148" s="24"/>
      <c r="F148" s="24"/>
    </row>
    <row r="149" spans="1:6" ht="12.75">
      <c r="A149" s="4"/>
      <c r="B149" s="3"/>
      <c r="C149" s="24"/>
      <c r="D149" s="24"/>
      <c r="E149" s="24"/>
      <c r="F149" s="24"/>
    </row>
    <row r="150" spans="1:6" ht="12.75">
      <c r="A150" s="4"/>
      <c r="B150" s="3"/>
      <c r="C150" s="24"/>
      <c r="D150" s="24"/>
      <c r="E150" s="24"/>
      <c r="F150" s="24"/>
    </row>
    <row r="151" spans="1:6" ht="12.75">
      <c r="A151" s="4"/>
      <c r="B151" s="3"/>
      <c r="C151" s="24"/>
      <c r="D151" s="24"/>
      <c r="E151" s="24"/>
      <c r="F151" s="24"/>
    </row>
    <row r="152" spans="1:6" ht="12.75">
      <c r="A152" s="4"/>
      <c r="B152" s="3"/>
      <c r="C152" s="24"/>
      <c r="D152" s="24"/>
      <c r="E152" s="24"/>
      <c r="F152" s="24"/>
    </row>
    <row r="153" spans="1:6" ht="12.75">
      <c r="A153" s="4"/>
      <c r="B153" s="3"/>
      <c r="C153" s="24"/>
      <c r="D153" s="24"/>
      <c r="E153" s="24"/>
      <c r="F153" s="24"/>
    </row>
    <row r="154" spans="1:7" s="22" customFormat="1" ht="12.75">
      <c r="A154" s="4"/>
      <c r="B154" s="3"/>
      <c r="C154" s="24"/>
      <c r="D154" s="24"/>
      <c r="E154" s="24"/>
      <c r="F154" s="24"/>
      <c r="G154"/>
    </row>
    <row r="155" spans="1:7" s="22" customFormat="1" ht="12.75">
      <c r="A155" s="4"/>
      <c r="B155" s="3"/>
      <c r="C155" s="24"/>
      <c r="D155" s="24"/>
      <c r="E155" s="24"/>
      <c r="F155" s="24"/>
      <c r="G155"/>
    </row>
    <row r="156" spans="1:7" s="22" customFormat="1" ht="12.75">
      <c r="A156" s="4"/>
      <c r="B156" s="3"/>
      <c r="C156" s="24"/>
      <c r="D156" s="24"/>
      <c r="E156" s="24"/>
      <c r="F156" s="24"/>
      <c r="G156"/>
    </row>
    <row r="157" spans="1:7" s="22" customFormat="1" ht="12.75">
      <c r="A157" s="4"/>
      <c r="B157" s="3"/>
      <c r="C157" s="24"/>
      <c r="D157" s="24"/>
      <c r="E157" s="24"/>
      <c r="F157" s="24"/>
      <c r="G157"/>
    </row>
    <row r="158" spans="1:7" s="22" customFormat="1" ht="12.75">
      <c r="A158" s="4"/>
      <c r="B158" s="3"/>
      <c r="C158" s="24"/>
      <c r="D158" s="24"/>
      <c r="E158" s="24"/>
      <c r="F158" s="24"/>
      <c r="G158"/>
    </row>
    <row r="159" spans="1:7" s="22" customFormat="1" ht="12.75">
      <c r="A159" s="4"/>
      <c r="B159" s="3"/>
      <c r="C159" s="24"/>
      <c r="D159" s="24"/>
      <c r="E159" s="24"/>
      <c r="F159" s="24"/>
      <c r="G159"/>
    </row>
    <row r="160" spans="1:7" s="22" customFormat="1" ht="12.75">
      <c r="A160" s="4"/>
      <c r="B160" s="3"/>
      <c r="C160" s="24"/>
      <c r="D160" s="24"/>
      <c r="E160" s="24"/>
      <c r="F160" s="24"/>
      <c r="G160"/>
    </row>
    <row r="161" spans="1:7" s="22" customFormat="1" ht="12.75">
      <c r="A161" s="4"/>
      <c r="B161" s="3"/>
      <c r="C161" s="24"/>
      <c r="D161" s="24"/>
      <c r="E161" s="24"/>
      <c r="F161" s="24"/>
      <c r="G161"/>
    </row>
    <row r="162" spans="1:7" s="22" customFormat="1" ht="12.75">
      <c r="A162" s="4"/>
      <c r="B162" s="3"/>
      <c r="C162" s="24"/>
      <c r="D162" s="24"/>
      <c r="E162" s="24"/>
      <c r="F162" s="24"/>
      <c r="G162"/>
    </row>
    <row r="163" spans="1:7" s="22" customFormat="1" ht="12.75">
      <c r="A163" s="4"/>
      <c r="B163" s="3"/>
      <c r="C163" s="24"/>
      <c r="D163" s="24"/>
      <c r="E163" s="24"/>
      <c r="F163" s="24"/>
      <c r="G163"/>
    </row>
    <row r="164" spans="1:7" s="22" customFormat="1" ht="12.75">
      <c r="A164" s="4"/>
      <c r="B164" s="3"/>
      <c r="C164" s="24"/>
      <c r="D164" s="24"/>
      <c r="E164" s="24"/>
      <c r="F164" s="24"/>
      <c r="G164"/>
    </row>
    <row r="165" spans="1:7" s="22" customFormat="1" ht="12.75">
      <c r="A165" s="4"/>
      <c r="B165" s="3"/>
      <c r="C165" s="24"/>
      <c r="D165" s="24"/>
      <c r="E165" s="24"/>
      <c r="F165" s="24"/>
      <c r="G165"/>
    </row>
    <row r="166" spans="1:7" s="22" customFormat="1" ht="12.75">
      <c r="A166" s="4"/>
      <c r="B166" s="3"/>
      <c r="C166" s="24"/>
      <c r="D166" s="24"/>
      <c r="E166" s="24"/>
      <c r="F166" s="24"/>
      <c r="G166"/>
    </row>
    <row r="167" spans="1:7" s="22" customFormat="1" ht="12.75">
      <c r="A167" s="4"/>
      <c r="B167" s="3"/>
      <c r="C167" s="24"/>
      <c r="D167" s="24"/>
      <c r="E167" s="24"/>
      <c r="F167" s="24"/>
      <c r="G167"/>
    </row>
    <row r="168" spans="1:7" s="22" customFormat="1" ht="12.75">
      <c r="A168" s="4"/>
      <c r="B168"/>
      <c r="C168" s="24"/>
      <c r="D168" s="24"/>
      <c r="E168" s="24"/>
      <c r="F168" s="24"/>
      <c r="G168"/>
    </row>
  </sheetData>
  <sheetProtection/>
  <mergeCells count="7">
    <mergeCell ref="A1:F1"/>
    <mergeCell ref="A2:A3"/>
    <mergeCell ref="B2:B3"/>
    <mergeCell ref="F2:F3"/>
    <mergeCell ref="C2:C3"/>
    <mergeCell ref="E2:E3"/>
    <mergeCell ref="D2:D3"/>
  </mergeCells>
  <printOptions horizontalCentered="1"/>
  <pageMargins left="0.2755905511811024" right="0.15748031496062992" top="0.35433070866141736" bottom="0.3937007874015748" header="0.2755905511811024" footer="0.15748031496062992"/>
  <pageSetup horizontalDpi="600" verticalDpi="600" orientation="landscape" paperSize="9" scale="110" r:id="rId1"/>
  <headerFooter alignWithMargins="0">
    <oddFooter>&amp;R&amp;P</oddFooter>
  </headerFooter>
  <rowBreaks count="3" manualBreakCount="3">
    <brk id="30" max="5" man="1"/>
    <brk id="53" max="5" man="1"/>
    <brk id="73" max="4" man="1"/>
  </rowBreaks>
  <colBreaks count="1" manualBreakCount="1">
    <brk id="6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42"/>
  <sheetViews>
    <sheetView tabSelected="1" view="pageBreakPreview" zoomScaleSheetLayoutView="100" zoomScalePageLayoutView="0" workbookViewId="0" topLeftCell="B1">
      <pane ySplit="3" topLeftCell="A76" activePane="bottomLeft" state="frozen"/>
      <selection pane="topLeft" activeCell="B41" sqref="B41"/>
      <selection pane="bottomLeft" activeCell="J114" sqref="J114"/>
    </sheetView>
  </sheetViews>
  <sheetFormatPr defaultColWidth="9.140625" defaultRowHeight="12.75"/>
  <cols>
    <col min="1" max="1" width="13.8515625" style="0" customWidth="1"/>
    <col min="2" max="2" width="8.140625" style="0" customWidth="1"/>
    <col min="3" max="3" width="57.7109375" style="0" customWidth="1"/>
    <col min="4" max="6" width="16.421875" style="22" customWidth="1"/>
    <col min="7" max="7" width="10.7109375" style="22" customWidth="1"/>
    <col min="8" max="8" width="10.00390625" style="22" customWidth="1"/>
    <col min="9" max="9" width="16.00390625" style="0" customWidth="1"/>
    <col min="10" max="10" width="18.421875" style="0" customWidth="1"/>
    <col min="11" max="11" width="15.140625" style="0" customWidth="1"/>
    <col min="12" max="12" width="18.140625" style="0" customWidth="1"/>
  </cols>
  <sheetData>
    <row r="1" spans="1:8" ht="39.75" customHeight="1" thickBot="1">
      <c r="A1" s="464" t="s">
        <v>555</v>
      </c>
      <c r="B1" s="464"/>
      <c r="C1" s="464"/>
      <c r="D1" s="464"/>
      <c r="E1" s="464"/>
      <c r="F1" s="464"/>
      <c r="G1" s="464"/>
      <c r="H1" s="464"/>
    </row>
    <row r="2" spans="1:8" ht="18.75" customHeight="1" thickTop="1">
      <c r="A2" s="479" t="s">
        <v>54</v>
      </c>
      <c r="B2" s="481" t="s">
        <v>227</v>
      </c>
      <c r="C2" s="481" t="s">
        <v>191</v>
      </c>
      <c r="D2" s="477" t="s">
        <v>535</v>
      </c>
      <c r="E2" s="477" t="s">
        <v>559</v>
      </c>
      <c r="F2" s="477" t="s">
        <v>556</v>
      </c>
      <c r="G2" s="483" t="s">
        <v>104</v>
      </c>
      <c r="H2" s="475" t="s">
        <v>109</v>
      </c>
    </row>
    <row r="3" spans="1:8" ht="29.25" customHeight="1">
      <c r="A3" s="480"/>
      <c r="B3" s="482"/>
      <c r="C3" s="482"/>
      <c r="D3" s="478"/>
      <c r="E3" s="478"/>
      <c r="F3" s="478"/>
      <c r="G3" s="484"/>
      <c r="H3" s="476"/>
    </row>
    <row r="4" spans="1:8" s="5" customFormat="1" ht="12.75" customHeight="1">
      <c r="A4" s="99">
        <v>1</v>
      </c>
      <c r="B4" s="100">
        <v>2</v>
      </c>
      <c r="C4" s="100">
        <v>3</v>
      </c>
      <c r="D4" s="100">
        <v>4</v>
      </c>
      <c r="E4" s="100" t="s">
        <v>557</v>
      </c>
      <c r="F4" s="100">
        <v>6</v>
      </c>
      <c r="G4" s="100" t="s">
        <v>558</v>
      </c>
      <c r="H4" s="101">
        <v>8</v>
      </c>
    </row>
    <row r="5" spans="1:8" ht="19.5" customHeight="1">
      <c r="A5" s="41"/>
      <c r="B5" s="42"/>
      <c r="C5" s="43" t="s">
        <v>228</v>
      </c>
      <c r="D5" s="44">
        <f>D6+D22+D83+D92</f>
        <v>25213000</v>
      </c>
      <c r="E5" s="44">
        <f>E6+E22+E83+E92</f>
        <v>1479984.77</v>
      </c>
      <c r="F5" s="44">
        <f>F6+F22+F83+F92</f>
        <v>26692984.77</v>
      </c>
      <c r="G5" s="44">
        <f aca="true" t="shared" si="0" ref="G5:G36">F5/D5*100</f>
        <v>105.86992729940903</v>
      </c>
      <c r="H5" s="45">
        <f aca="true" t="shared" si="1" ref="H5:H36">F5/$F$116*100</f>
        <v>97.31310524972658</v>
      </c>
    </row>
    <row r="6" spans="1:8" ht="15" customHeight="1">
      <c r="A6" s="46">
        <v>710000</v>
      </c>
      <c r="B6" s="47"/>
      <c r="C6" s="48" t="s">
        <v>201</v>
      </c>
      <c r="D6" s="49">
        <f>D7+D9+D12+D14+D18+D20</f>
        <v>14897000</v>
      </c>
      <c r="E6" s="49">
        <f>E7+E9+E12+E14+E18+E20</f>
        <v>-120000</v>
      </c>
      <c r="F6" s="49">
        <f>F7+F9+F12+F14+F18+F20</f>
        <v>14777000</v>
      </c>
      <c r="G6" s="50">
        <f t="shared" si="0"/>
        <v>99.19446868497013</v>
      </c>
      <c r="H6" s="158">
        <f t="shared" si="1"/>
        <v>53.87167335034634</v>
      </c>
    </row>
    <row r="7" spans="1:8" ht="18.75" customHeight="1">
      <c r="A7" s="52">
        <v>711100</v>
      </c>
      <c r="B7" s="53"/>
      <c r="C7" s="54" t="s">
        <v>176</v>
      </c>
      <c r="D7" s="55">
        <f>SUM(D8)</f>
        <v>0</v>
      </c>
      <c r="E7" s="55">
        <f>SUM(E8)</f>
        <v>0</v>
      </c>
      <c r="F7" s="55">
        <f>SUM(F8)</f>
        <v>0</v>
      </c>
      <c r="G7" s="403" t="e">
        <f t="shared" si="0"/>
        <v>#DIV/0!</v>
      </c>
      <c r="H7" s="404">
        <f t="shared" si="1"/>
        <v>0</v>
      </c>
    </row>
    <row r="8" spans="1:8" ht="12" customHeight="1">
      <c r="A8" s="59">
        <v>711113</v>
      </c>
      <c r="B8" s="60"/>
      <c r="C8" s="61" t="s">
        <v>202</v>
      </c>
      <c r="D8" s="62">
        <v>0</v>
      </c>
      <c r="E8" s="62">
        <f>F8-D8</f>
        <v>0</v>
      </c>
      <c r="F8" s="62">
        <v>0</v>
      </c>
      <c r="G8" s="75" t="e">
        <f t="shared" si="0"/>
        <v>#DIV/0!</v>
      </c>
      <c r="H8" s="76">
        <f t="shared" si="1"/>
        <v>0</v>
      </c>
    </row>
    <row r="9" spans="1:8" ht="15" customHeight="1">
      <c r="A9" s="46">
        <v>713000</v>
      </c>
      <c r="B9" s="47"/>
      <c r="C9" s="65" t="s">
        <v>4</v>
      </c>
      <c r="D9" s="55">
        <f>SUM(D10:D11)</f>
        <v>1355000</v>
      </c>
      <c r="E9" s="55">
        <f>SUM(E10:E11)</f>
        <v>195000</v>
      </c>
      <c r="F9" s="55">
        <f>SUM(F10:F11)</f>
        <v>1550000</v>
      </c>
      <c r="G9" s="56">
        <f t="shared" si="0"/>
        <v>114.39114391143912</v>
      </c>
      <c r="H9" s="58">
        <f t="shared" si="1"/>
        <v>5.650747356908494</v>
      </c>
    </row>
    <row r="10" spans="1:8" ht="14.25" customHeight="1">
      <c r="A10" s="59" t="s">
        <v>5</v>
      </c>
      <c r="B10" s="60"/>
      <c r="C10" s="66" t="s">
        <v>203</v>
      </c>
      <c r="D10" s="62">
        <v>360000</v>
      </c>
      <c r="E10" s="62">
        <f>F10-D10</f>
        <v>0</v>
      </c>
      <c r="F10" s="62">
        <v>360000</v>
      </c>
      <c r="G10" s="112">
        <f t="shared" si="0"/>
        <v>100</v>
      </c>
      <c r="H10" s="313">
        <f t="shared" si="1"/>
        <v>1.3124316441851986</v>
      </c>
    </row>
    <row r="11" spans="1:8" ht="14.25" customHeight="1">
      <c r="A11" s="59" t="s">
        <v>6</v>
      </c>
      <c r="B11" s="60"/>
      <c r="C11" s="67" t="s">
        <v>7</v>
      </c>
      <c r="D11" s="62">
        <v>995000</v>
      </c>
      <c r="E11" s="62">
        <f>F11-D11</f>
        <v>195000</v>
      </c>
      <c r="F11" s="62">
        <v>1190000</v>
      </c>
      <c r="G11" s="112">
        <f t="shared" si="0"/>
        <v>119.59798994974875</v>
      </c>
      <c r="H11" s="313">
        <f t="shared" si="1"/>
        <v>4.338315712723296</v>
      </c>
    </row>
    <row r="12" spans="1:8" ht="19.5" customHeight="1">
      <c r="A12" s="46">
        <v>714000</v>
      </c>
      <c r="B12" s="47"/>
      <c r="C12" s="65" t="s">
        <v>8</v>
      </c>
      <c r="D12" s="55">
        <f>SUM(D13:D13)</f>
        <v>265000</v>
      </c>
      <c r="E12" s="55">
        <f>SUM(E13:E13)</f>
        <v>0</v>
      </c>
      <c r="F12" s="55">
        <f>SUM(F13:F13)</f>
        <v>265000</v>
      </c>
      <c r="G12" s="56">
        <f t="shared" si="0"/>
        <v>100</v>
      </c>
      <c r="H12" s="58">
        <f t="shared" si="1"/>
        <v>0.9660955158585491</v>
      </c>
    </row>
    <row r="13" spans="1:8" ht="14.25" customHeight="1">
      <c r="A13" s="68" t="s">
        <v>343</v>
      </c>
      <c r="B13" s="47"/>
      <c r="C13" s="69" t="s">
        <v>313</v>
      </c>
      <c r="D13" s="62">
        <v>265000</v>
      </c>
      <c r="E13" s="62">
        <f>F13-D13</f>
        <v>0</v>
      </c>
      <c r="F13" s="62">
        <v>265000</v>
      </c>
      <c r="G13" s="112">
        <f t="shared" si="0"/>
        <v>100</v>
      </c>
      <c r="H13" s="313">
        <f t="shared" si="1"/>
        <v>0.9660955158585491</v>
      </c>
    </row>
    <row r="14" spans="1:8" ht="14.25" customHeight="1">
      <c r="A14" s="46">
        <v>715000</v>
      </c>
      <c r="B14" s="47"/>
      <c r="C14" s="65" t="s">
        <v>144</v>
      </c>
      <c r="D14" s="55">
        <f>SUM(D15:D17)</f>
        <v>2000</v>
      </c>
      <c r="E14" s="55">
        <f>SUM(E15:E17)</f>
        <v>0</v>
      </c>
      <c r="F14" s="55">
        <f>SUM(F15:F17)</f>
        <v>2000</v>
      </c>
      <c r="G14" s="56">
        <f t="shared" si="0"/>
        <v>100</v>
      </c>
      <c r="H14" s="58">
        <f t="shared" si="1"/>
        <v>0.007291286912139993</v>
      </c>
    </row>
    <row r="15" spans="1:8" ht="14.25" customHeight="1">
      <c r="A15" s="70">
        <v>715110</v>
      </c>
      <c r="B15" s="71"/>
      <c r="C15" s="66" t="s">
        <v>391</v>
      </c>
      <c r="D15" s="62">
        <v>2000</v>
      </c>
      <c r="E15" s="62">
        <f>F15-D15</f>
        <v>0</v>
      </c>
      <c r="F15" s="62">
        <v>2000</v>
      </c>
      <c r="G15" s="112">
        <f t="shared" si="0"/>
        <v>100</v>
      </c>
      <c r="H15" s="313">
        <f t="shared" si="1"/>
        <v>0.007291286912139993</v>
      </c>
    </row>
    <row r="16" spans="1:8" ht="14.25" customHeight="1" hidden="1">
      <c r="A16" s="59">
        <v>715210</v>
      </c>
      <c r="B16" s="60"/>
      <c r="C16" s="67" t="s">
        <v>392</v>
      </c>
      <c r="D16" s="62">
        <v>0</v>
      </c>
      <c r="E16" s="62"/>
      <c r="F16" s="62">
        <v>0</v>
      </c>
      <c r="G16" s="50" t="e">
        <f t="shared" si="0"/>
        <v>#DIV/0!</v>
      </c>
      <c r="H16" s="45">
        <f t="shared" si="1"/>
        <v>0</v>
      </c>
    </row>
    <row r="17" spans="1:8" ht="14.25" customHeight="1" hidden="1">
      <c r="A17" s="59">
        <v>715310</v>
      </c>
      <c r="B17" s="60"/>
      <c r="C17" s="67" t="s">
        <v>390</v>
      </c>
      <c r="D17" s="62">
        <v>0</v>
      </c>
      <c r="E17" s="62"/>
      <c r="F17" s="62">
        <v>0</v>
      </c>
      <c r="G17" s="50" t="e">
        <f t="shared" si="0"/>
        <v>#DIV/0!</v>
      </c>
      <c r="H17" s="45">
        <f t="shared" si="1"/>
        <v>0</v>
      </c>
    </row>
    <row r="18" spans="1:8" ht="17.25" customHeight="1">
      <c r="A18" s="46">
        <v>717000</v>
      </c>
      <c r="B18" s="47"/>
      <c r="C18" s="72" t="s">
        <v>278</v>
      </c>
      <c r="D18" s="55">
        <f>SUM(D19)</f>
        <v>13200000</v>
      </c>
      <c r="E18" s="55">
        <f>SUM(E19)</f>
        <v>-400000</v>
      </c>
      <c r="F18" s="55">
        <f>SUM(F19)</f>
        <v>12800000</v>
      </c>
      <c r="G18" s="56">
        <f t="shared" si="0"/>
        <v>96.96969696969697</v>
      </c>
      <c r="H18" s="58">
        <f t="shared" si="1"/>
        <v>46.66423623769595</v>
      </c>
    </row>
    <row r="19" spans="1:8" ht="14.25" customHeight="1">
      <c r="A19" s="73" t="s">
        <v>412</v>
      </c>
      <c r="B19" s="71"/>
      <c r="C19" s="67" t="s">
        <v>278</v>
      </c>
      <c r="D19" s="62">
        <v>13200000</v>
      </c>
      <c r="E19" s="62">
        <f>F19-D19</f>
        <v>-400000</v>
      </c>
      <c r="F19" s="62">
        <f>12900000-100000</f>
        <v>12800000</v>
      </c>
      <c r="G19" s="112">
        <f t="shared" si="0"/>
        <v>96.96969696969697</v>
      </c>
      <c r="H19" s="313">
        <f t="shared" si="1"/>
        <v>46.66423623769595</v>
      </c>
    </row>
    <row r="20" spans="1:8" ht="14.25" customHeight="1">
      <c r="A20" s="46">
        <v>719000</v>
      </c>
      <c r="B20" s="47"/>
      <c r="C20" s="65" t="s">
        <v>279</v>
      </c>
      <c r="D20" s="55">
        <f>SUM(D21)</f>
        <v>75000</v>
      </c>
      <c r="E20" s="55">
        <f>SUM(E21)</f>
        <v>85000</v>
      </c>
      <c r="F20" s="55">
        <f>SUM(F21)</f>
        <v>160000</v>
      </c>
      <c r="G20" s="56">
        <f t="shared" si="0"/>
        <v>213.33333333333334</v>
      </c>
      <c r="H20" s="58">
        <f t="shared" si="1"/>
        <v>0.5833029529711994</v>
      </c>
    </row>
    <row r="21" spans="1:8" ht="14.25" customHeight="1">
      <c r="A21" s="59">
        <v>719113</v>
      </c>
      <c r="B21" s="60"/>
      <c r="C21" s="66" t="s">
        <v>9</v>
      </c>
      <c r="D21" s="62">
        <v>75000</v>
      </c>
      <c r="E21" s="62">
        <f>F21-D21</f>
        <v>85000</v>
      </c>
      <c r="F21" s="62">
        <v>160000</v>
      </c>
      <c r="G21" s="112">
        <f t="shared" si="0"/>
        <v>213.33333333333334</v>
      </c>
      <c r="H21" s="313">
        <f t="shared" si="1"/>
        <v>0.5833029529711994</v>
      </c>
    </row>
    <row r="22" spans="1:8" ht="18" customHeight="1">
      <c r="A22" s="46">
        <v>720000</v>
      </c>
      <c r="B22" s="47"/>
      <c r="C22" s="48" t="s">
        <v>204</v>
      </c>
      <c r="D22" s="49">
        <f>D23+D31+D76+D78+D81</f>
        <v>8536600</v>
      </c>
      <c r="E22" s="49">
        <f>E23+E31+E76+E78+E81</f>
        <v>823520</v>
      </c>
      <c r="F22" s="49">
        <f>F23+F31+F76+F78+F81</f>
        <v>9360120</v>
      </c>
      <c r="G22" s="50">
        <f t="shared" si="0"/>
        <v>109.64693203383081</v>
      </c>
      <c r="H22" s="374">
        <f t="shared" si="1"/>
        <v>34.1236602260299</v>
      </c>
    </row>
    <row r="23" spans="1:8" ht="18" customHeight="1">
      <c r="A23" s="46">
        <v>721000</v>
      </c>
      <c r="B23" s="47"/>
      <c r="C23" s="54" t="s">
        <v>145</v>
      </c>
      <c r="D23" s="55">
        <f>D24+D29</f>
        <v>409900</v>
      </c>
      <c r="E23" s="55">
        <f>E24+E29</f>
        <v>-900</v>
      </c>
      <c r="F23" s="55">
        <f>F24+F29</f>
        <v>409000</v>
      </c>
      <c r="G23" s="56">
        <f t="shared" si="0"/>
        <v>99.78043425225664</v>
      </c>
      <c r="H23" s="58">
        <f t="shared" si="1"/>
        <v>1.4910681735326285</v>
      </c>
    </row>
    <row r="24" spans="1:8" ht="18" customHeight="1">
      <c r="A24" s="52">
        <v>721200</v>
      </c>
      <c r="B24" s="53"/>
      <c r="C24" s="65" t="s">
        <v>146</v>
      </c>
      <c r="D24" s="74">
        <f>SUM(D25:D28)</f>
        <v>408600</v>
      </c>
      <c r="E24" s="74">
        <f>SUM(E25:E28)</f>
        <v>400</v>
      </c>
      <c r="F24" s="74">
        <f>SUM(F25:F28)</f>
        <v>409000</v>
      </c>
      <c r="G24" s="75">
        <f t="shared" si="0"/>
        <v>100.09789525208028</v>
      </c>
      <c r="H24" s="76">
        <f t="shared" si="1"/>
        <v>1.4910681735326285</v>
      </c>
    </row>
    <row r="25" spans="1:8" ht="14.25" customHeight="1">
      <c r="A25" s="59">
        <v>721222</v>
      </c>
      <c r="B25" s="60"/>
      <c r="C25" s="66" t="s">
        <v>613</v>
      </c>
      <c r="D25" s="62">
        <v>21000</v>
      </c>
      <c r="E25" s="62">
        <f>F25-D25</f>
        <v>-1000</v>
      </c>
      <c r="F25" s="62">
        <v>20000</v>
      </c>
      <c r="G25" s="112">
        <f t="shared" si="0"/>
        <v>95.23809523809523</v>
      </c>
      <c r="H25" s="313">
        <f t="shared" si="1"/>
        <v>0.07291286912139992</v>
      </c>
    </row>
    <row r="26" spans="1:8" ht="14.25" customHeight="1">
      <c r="A26" s="113">
        <v>721222</v>
      </c>
      <c r="B26" s="60"/>
      <c r="C26" s="66" t="s">
        <v>466</v>
      </c>
      <c r="D26" s="62">
        <v>49600</v>
      </c>
      <c r="E26" s="62">
        <f>F26-D26</f>
        <v>-3600</v>
      </c>
      <c r="F26" s="62">
        <v>46000</v>
      </c>
      <c r="G26" s="112">
        <f t="shared" si="0"/>
        <v>92.74193548387096</v>
      </c>
      <c r="H26" s="313">
        <f t="shared" si="1"/>
        <v>0.16769959897921985</v>
      </c>
    </row>
    <row r="27" spans="1:9" ht="14.25" customHeight="1">
      <c r="A27" s="59">
        <v>721223</v>
      </c>
      <c r="B27" s="60"/>
      <c r="C27" s="67" t="s">
        <v>10</v>
      </c>
      <c r="D27" s="62">
        <v>325000</v>
      </c>
      <c r="E27" s="62">
        <f>F27-D27</f>
        <v>5000</v>
      </c>
      <c r="F27" s="62">
        <f>310000+20000</f>
        <v>330000</v>
      </c>
      <c r="G27" s="112">
        <f t="shared" si="0"/>
        <v>101.53846153846153</v>
      </c>
      <c r="H27" s="313">
        <f t="shared" si="1"/>
        <v>1.203062340503099</v>
      </c>
      <c r="I27" s="1"/>
    </row>
    <row r="28" spans="1:8" ht="14.25" customHeight="1">
      <c r="A28" s="59">
        <v>721224</v>
      </c>
      <c r="B28" s="60"/>
      <c r="C28" s="67" t="s">
        <v>205</v>
      </c>
      <c r="D28" s="62">
        <v>13000</v>
      </c>
      <c r="E28" s="62">
        <f>F28-D28</f>
        <v>0</v>
      </c>
      <c r="F28" s="62">
        <v>13000</v>
      </c>
      <c r="G28" s="112">
        <f t="shared" si="0"/>
        <v>100</v>
      </c>
      <c r="H28" s="313">
        <f t="shared" si="1"/>
        <v>0.047393364928909956</v>
      </c>
    </row>
    <row r="29" spans="1:8" ht="18" customHeight="1">
      <c r="A29" s="52">
        <v>721300</v>
      </c>
      <c r="B29" s="53"/>
      <c r="C29" s="65" t="s">
        <v>147</v>
      </c>
      <c r="D29" s="74">
        <f>SUM(D30:D30)</f>
        <v>1300</v>
      </c>
      <c r="E29" s="74">
        <f>SUM(E30:E30)</f>
        <v>-1300</v>
      </c>
      <c r="F29" s="74">
        <f>SUM(F30:F30)</f>
        <v>0</v>
      </c>
      <c r="G29" s="75">
        <f t="shared" si="0"/>
        <v>0</v>
      </c>
      <c r="H29" s="76">
        <f t="shared" si="1"/>
        <v>0</v>
      </c>
    </row>
    <row r="30" spans="1:8" ht="14.25" customHeight="1">
      <c r="A30" s="70">
        <v>721310</v>
      </c>
      <c r="B30" s="71"/>
      <c r="C30" s="66" t="s">
        <v>206</v>
      </c>
      <c r="D30" s="62">
        <v>1300</v>
      </c>
      <c r="E30" s="62">
        <f>F30-D30</f>
        <v>-1300</v>
      </c>
      <c r="F30" s="62">
        <v>0</v>
      </c>
      <c r="G30" s="112">
        <f t="shared" si="0"/>
        <v>0</v>
      </c>
      <c r="H30" s="313">
        <f t="shared" si="1"/>
        <v>0</v>
      </c>
    </row>
    <row r="31" spans="1:8" ht="17.25" customHeight="1">
      <c r="A31" s="46">
        <v>722000</v>
      </c>
      <c r="B31" s="47"/>
      <c r="C31" s="65" t="s">
        <v>148</v>
      </c>
      <c r="D31" s="55">
        <f>D32+D35+D43+D53</f>
        <v>7951200</v>
      </c>
      <c r="E31" s="55">
        <f>E32+E35+E43+E53</f>
        <v>809420</v>
      </c>
      <c r="F31" s="55">
        <f>F32+F35+F43+F53</f>
        <v>8760620</v>
      </c>
      <c r="G31" s="56">
        <f t="shared" si="0"/>
        <v>110.17984706710936</v>
      </c>
      <c r="H31" s="58">
        <f t="shared" si="1"/>
        <v>31.938096974115933</v>
      </c>
    </row>
    <row r="32" spans="1:8" ht="17.25" customHeight="1">
      <c r="A32" s="52">
        <v>722100</v>
      </c>
      <c r="B32" s="53"/>
      <c r="C32" s="65" t="s">
        <v>11</v>
      </c>
      <c r="D32" s="77">
        <f>SUM(D33:D34)</f>
        <v>115000</v>
      </c>
      <c r="E32" s="77">
        <f>SUM(E33:E34)</f>
        <v>110000</v>
      </c>
      <c r="F32" s="77">
        <f>SUM(F33:F34)</f>
        <v>225000</v>
      </c>
      <c r="G32" s="75">
        <f t="shared" si="0"/>
        <v>195.65217391304347</v>
      </c>
      <c r="H32" s="76">
        <f t="shared" si="1"/>
        <v>0.8202697776157493</v>
      </c>
    </row>
    <row r="33" spans="1:8" ht="18.75" customHeight="1" hidden="1">
      <c r="A33" s="59">
        <v>722118</v>
      </c>
      <c r="B33" s="53"/>
      <c r="C33" s="66" t="s">
        <v>321</v>
      </c>
      <c r="D33" s="62">
        <v>0</v>
      </c>
      <c r="E33" s="62"/>
      <c r="F33" s="62">
        <v>0</v>
      </c>
      <c r="G33" s="75" t="e">
        <f t="shared" si="0"/>
        <v>#DIV/0!</v>
      </c>
      <c r="H33" s="76">
        <f t="shared" si="1"/>
        <v>0</v>
      </c>
    </row>
    <row r="34" spans="1:8" ht="14.25" customHeight="1">
      <c r="A34" s="59" t="s">
        <v>615</v>
      </c>
      <c r="B34" s="60"/>
      <c r="C34" s="66" t="s">
        <v>614</v>
      </c>
      <c r="D34" s="88">
        <v>115000</v>
      </c>
      <c r="E34" s="88">
        <f>F34-D34</f>
        <v>110000</v>
      </c>
      <c r="F34" s="88">
        <v>225000</v>
      </c>
      <c r="G34" s="112">
        <f t="shared" si="0"/>
        <v>195.65217391304347</v>
      </c>
      <c r="H34" s="313">
        <f t="shared" si="1"/>
        <v>0.8202697776157493</v>
      </c>
    </row>
    <row r="35" spans="1:8" ht="19.5" customHeight="1">
      <c r="A35" s="52">
        <v>722300</v>
      </c>
      <c r="B35" s="53"/>
      <c r="C35" s="65" t="s">
        <v>12</v>
      </c>
      <c r="D35" s="77">
        <f>SUM(D36:D42)</f>
        <v>375500</v>
      </c>
      <c r="E35" s="77">
        <f>SUM(E36:E42)</f>
        <v>205500</v>
      </c>
      <c r="F35" s="77">
        <f>SUM(F36:F42)</f>
        <v>581000</v>
      </c>
      <c r="G35" s="75">
        <f t="shared" si="0"/>
        <v>154.7270306258322</v>
      </c>
      <c r="H35" s="76">
        <f t="shared" si="1"/>
        <v>2.118118847976668</v>
      </c>
    </row>
    <row r="36" spans="1:8" ht="14.25" customHeight="1">
      <c r="A36" s="59">
        <v>722312</v>
      </c>
      <c r="B36" s="60"/>
      <c r="C36" s="66" t="s">
        <v>260</v>
      </c>
      <c r="D36" s="62">
        <v>40000</v>
      </c>
      <c r="E36" s="62">
        <f>F36-D36</f>
        <v>-10000</v>
      </c>
      <c r="F36" s="62">
        <v>30000</v>
      </c>
      <c r="G36" s="112">
        <f t="shared" si="0"/>
        <v>75</v>
      </c>
      <c r="H36" s="313">
        <f t="shared" si="1"/>
        <v>0.10936930368209989</v>
      </c>
    </row>
    <row r="37" spans="1:8" ht="24" customHeight="1">
      <c r="A37" s="59">
        <v>722314</v>
      </c>
      <c r="B37" s="60"/>
      <c r="C37" s="66" t="s">
        <v>261</v>
      </c>
      <c r="D37" s="62">
        <v>50000</v>
      </c>
      <c r="E37" s="62">
        <f aca="true" t="shared" si="2" ref="E37:E42">F37-D37</f>
        <v>145000</v>
      </c>
      <c r="F37" s="62">
        <v>195000</v>
      </c>
      <c r="G37" s="112">
        <f aca="true" t="shared" si="3" ref="G37:G67">F37/D37*100</f>
        <v>390</v>
      </c>
      <c r="H37" s="313">
        <f aca="true" t="shared" si="4" ref="H37:H67">F37/$F$116*100</f>
        <v>0.7109004739336493</v>
      </c>
    </row>
    <row r="38" spans="1:8" ht="25.5" customHeight="1">
      <c r="A38" s="59">
        <v>722317</v>
      </c>
      <c r="B38" s="60"/>
      <c r="C38" s="66" t="s">
        <v>262</v>
      </c>
      <c r="D38" s="62">
        <v>0</v>
      </c>
      <c r="E38" s="62">
        <f t="shared" si="2"/>
        <v>500</v>
      </c>
      <c r="F38" s="62">
        <v>500</v>
      </c>
      <c r="G38" s="112" t="e">
        <f t="shared" si="3"/>
        <v>#DIV/0!</v>
      </c>
      <c r="H38" s="313">
        <f t="shared" si="4"/>
        <v>0.0018228217280349982</v>
      </c>
    </row>
    <row r="39" spans="1:8" ht="14.25" customHeight="1">
      <c r="A39" s="59">
        <v>722318</v>
      </c>
      <c r="B39" s="60"/>
      <c r="C39" s="66" t="s">
        <v>13</v>
      </c>
      <c r="D39" s="88">
        <v>2500</v>
      </c>
      <c r="E39" s="62">
        <f t="shared" si="2"/>
        <v>0</v>
      </c>
      <c r="F39" s="88">
        <v>2500</v>
      </c>
      <c r="G39" s="112">
        <f t="shared" si="3"/>
        <v>100</v>
      </c>
      <c r="H39" s="313">
        <f t="shared" si="4"/>
        <v>0.00911410864017499</v>
      </c>
    </row>
    <row r="40" spans="1:8" ht="24.75" customHeight="1">
      <c r="A40" s="59">
        <v>722319</v>
      </c>
      <c r="B40" s="60"/>
      <c r="C40" s="66" t="s">
        <v>470</v>
      </c>
      <c r="D40" s="88">
        <v>250000</v>
      </c>
      <c r="E40" s="62">
        <f t="shared" si="2"/>
        <v>75000</v>
      </c>
      <c r="F40" s="88">
        <v>325000</v>
      </c>
      <c r="G40" s="112">
        <f t="shared" si="3"/>
        <v>130</v>
      </c>
      <c r="H40" s="313">
        <f t="shared" si="4"/>
        <v>1.1848341232227488</v>
      </c>
    </row>
    <row r="41" spans="1:8" ht="30.75" customHeight="1">
      <c r="A41" s="59">
        <v>722391</v>
      </c>
      <c r="B41" s="60"/>
      <c r="C41" s="66" t="s">
        <v>14</v>
      </c>
      <c r="D41" s="62">
        <v>13000</v>
      </c>
      <c r="E41" s="62">
        <f t="shared" si="2"/>
        <v>0</v>
      </c>
      <c r="F41" s="62">
        <v>13000</v>
      </c>
      <c r="G41" s="112">
        <f t="shared" si="3"/>
        <v>100</v>
      </c>
      <c r="H41" s="313">
        <f t="shared" si="4"/>
        <v>0.047393364928909956</v>
      </c>
    </row>
    <row r="42" spans="1:8" ht="14.25" customHeight="1">
      <c r="A42" s="59">
        <v>722396</v>
      </c>
      <c r="B42" s="60"/>
      <c r="C42" s="66" t="s">
        <v>149</v>
      </c>
      <c r="D42" s="62">
        <v>20000</v>
      </c>
      <c r="E42" s="62">
        <f t="shared" si="2"/>
        <v>-5000</v>
      </c>
      <c r="F42" s="62">
        <v>15000</v>
      </c>
      <c r="G42" s="112">
        <f t="shared" si="3"/>
        <v>75</v>
      </c>
      <c r="H42" s="313">
        <f t="shared" si="4"/>
        <v>0.054684651841049946</v>
      </c>
    </row>
    <row r="43" spans="1:8" ht="18" customHeight="1">
      <c r="A43" s="52">
        <v>722400</v>
      </c>
      <c r="B43" s="53"/>
      <c r="C43" s="72" t="s">
        <v>15</v>
      </c>
      <c r="D43" s="75">
        <f>SUM(D44:D52)</f>
        <v>1216000</v>
      </c>
      <c r="E43" s="75">
        <f>SUM(E44:E52)</f>
        <v>306000</v>
      </c>
      <c r="F43" s="75">
        <f>SUM(F44:F52)</f>
        <v>1522000</v>
      </c>
      <c r="G43" s="75">
        <f t="shared" si="3"/>
        <v>125.16447368421053</v>
      </c>
      <c r="H43" s="76">
        <f t="shared" si="4"/>
        <v>5.5486693401385345</v>
      </c>
    </row>
    <row r="44" spans="1:8" ht="14.25" customHeight="1">
      <c r="A44" s="59">
        <v>722411</v>
      </c>
      <c r="B44" s="60"/>
      <c r="C44" s="66" t="s">
        <v>259</v>
      </c>
      <c r="D44" s="62">
        <v>335000</v>
      </c>
      <c r="E44" s="62">
        <f>F44-D44</f>
        <v>-10000</v>
      </c>
      <c r="F44" s="62">
        <v>325000</v>
      </c>
      <c r="G44" s="112">
        <f t="shared" si="3"/>
        <v>97.01492537313433</v>
      </c>
      <c r="H44" s="313">
        <f t="shared" si="4"/>
        <v>1.1848341232227488</v>
      </c>
    </row>
    <row r="45" spans="1:8" ht="14.25" customHeight="1">
      <c r="A45" s="59">
        <v>722424</v>
      </c>
      <c r="B45" s="60"/>
      <c r="C45" s="66" t="s">
        <v>207</v>
      </c>
      <c r="D45" s="62">
        <v>54000</v>
      </c>
      <c r="E45" s="62">
        <f aca="true" t="shared" si="5" ref="E45:E52">F45-D45</f>
        <v>21000</v>
      </c>
      <c r="F45" s="62">
        <v>75000</v>
      </c>
      <c r="G45" s="112">
        <f t="shared" si="3"/>
        <v>138.88888888888889</v>
      </c>
      <c r="H45" s="313">
        <f t="shared" si="4"/>
        <v>0.27342325920524974</v>
      </c>
    </row>
    <row r="46" spans="1:9" ht="14.25" customHeight="1">
      <c r="A46" s="59">
        <v>722425</v>
      </c>
      <c r="B46" s="60"/>
      <c r="C46" s="66" t="s">
        <v>208</v>
      </c>
      <c r="D46" s="62">
        <v>30000</v>
      </c>
      <c r="E46" s="62">
        <f t="shared" si="5"/>
        <v>165000</v>
      </c>
      <c r="F46" s="62">
        <f>75000+120000</f>
        <v>195000</v>
      </c>
      <c r="G46" s="112">
        <f t="shared" si="3"/>
        <v>650</v>
      </c>
      <c r="H46" s="313">
        <f t="shared" si="4"/>
        <v>0.7109004739336493</v>
      </c>
      <c r="I46" s="1"/>
    </row>
    <row r="47" spans="1:8" ht="36" customHeight="1">
      <c r="A47" s="59">
        <v>722435</v>
      </c>
      <c r="B47" s="60"/>
      <c r="C47" s="66" t="s">
        <v>616</v>
      </c>
      <c r="D47" s="88">
        <v>250000</v>
      </c>
      <c r="E47" s="62">
        <f t="shared" si="5"/>
        <v>-30000</v>
      </c>
      <c r="F47" s="88">
        <v>220000</v>
      </c>
      <c r="G47" s="112">
        <f t="shared" si="3"/>
        <v>88</v>
      </c>
      <c r="H47" s="313">
        <f t="shared" si="4"/>
        <v>0.8020415603353991</v>
      </c>
    </row>
    <row r="48" spans="1:8" ht="24" customHeight="1">
      <c r="A48" s="59">
        <v>722437</v>
      </c>
      <c r="B48" s="60"/>
      <c r="C48" s="66" t="s">
        <v>218</v>
      </c>
      <c r="D48" s="62">
        <v>32000</v>
      </c>
      <c r="E48" s="62">
        <f t="shared" si="5"/>
        <v>-8000</v>
      </c>
      <c r="F48" s="62">
        <v>24000</v>
      </c>
      <c r="G48" s="112">
        <f t="shared" si="3"/>
        <v>75</v>
      </c>
      <c r="H48" s="313">
        <f t="shared" si="4"/>
        <v>0.08749544294567992</v>
      </c>
    </row>
    <row r="49" spans="1:8" ht="26.25" customHeight="1">
      <c r="A49" s="70">
        <v>722440</v>
      </c>
      <c r="B49" s="71"/>
      <c r="C49" s="69" t="s">
        <v>374</v>
      </c>
      <c r="D49" s="62">
        <v>125000</v>
      </c>
      <c r="E49" s="62">
        <f t="shared" si="5"/>
        <v>25000</v>
      </c>
      <c r="F49" s="62">
        <v>150000</v>
      </c>
      <c r="G49" s="112">
        <f t="shared" si="3"/>
        <v>120</v>
      </c>
      <c r="H49" s="313">
        <f t="shared" si="4"/>
        <v>0.5468465184104995</v>
      </c>
    </row>
    <row r="50" spans="1:8" ht="24.75" customHeight="1">
      <c r="A50" s="59">
        <v>722461</v>
      </c>
      <c r="B50" s="60"/>
      <c r="C50" s="66" t="s">
        <v>53</v>
      </c>
      <c r="D50" s="62">
        <v>200000</v>
      </c>
      <c r="E50" s="62">
        <f t="shared" si="5"/>
        <v>95000</v>
      </c>
      <c r="F50" s="62">
        <v>295000</v>
      </c>
      <c r="G50" s="112">
        <f t="shared" si="3"/>
        <v>147.5</v>
      </c>
      <c r="H50" s="313">
        <f t="shared" si="4"/>
        <v>1.075464819540649</v>
      </c>
    </row>
    <row r="51" spans="1:8" ht="13.5" customHeight="1">
      <c r="A51" s="59">
        <v>722467</v>
      </c>
      <c r="B51" s="60"/>
      <c r="C51" s="66" t="s">
        <v>16</v>
      </c>
      <c r="D51" s="62">
        <v>170000</v>
      </c>
      <c r="E51" s="62">
        <f t="shared" si="5"/>
        <v>55000</v>
      </c>
      <c r="F51" s="62">
        <v>225000</v>
      </c>
      <c r="G51" s="112">
        <f t="shared" si="3"/>
        <v>132.35294117647058</v>
      </c>
      <c r="H51" s="313">
        <f t="shared" si="4"/>
        <v>0.8202697776157493</v>
      </c>
    </row>
    <row r="52" spans="1:8" ht="24" customHeight="1">
      <c r="A52" s="59">
        <v>722491</v>
      </c>
      <c r="B52" s="60"/>
      <c r="C52" s="66" t="s">
        <v>258</v>
      </c>
      <c r="D52" s="62">
        <v>20000</v>
      </c>
      <c r="E52" s="62">
        <f t="shared" si="5"/>
        <v>-7000</v>
      </c>
      <c r="F52" s="62">
        <v>13000</v>
      </c>
      <c r="G52" s="112">
        <f t="shared" si="3"/>
        <v>65</v>
      </c>
      <c r="H52" s="313">
        <f t="shared" si="4"/>
        <v>0.047393364928909956</v>
      </c>
    </row>
    <row r="53" spans="1:8" ht="20.25" customHeight="1">
      <c r="A53" s="78">
        <v>722500</v>
      </c>
      <c r="B53" s="79"/>
      <c r="C53" s="65" t="s">
        <v>473</v>
      </c>
      <c r="D53" s="75">
        <f>D54+D56+D68</f>
        <v>6244700</v>
      </c>
      <c r="E53" s="75">
        <f>E54+E56+E68</f>
        <v>187920</v>
      </c>
      <c r="F53" s="75">
        <f>F54+F56+F68</f>
        <v>6432620</v>
      </c>
      <c r="G53" s="75">
        <f t="shared" si="3"/>
        <v>103.00927186253944</v>
      </c>
      <c r="H53" s="76">
        <f t="shared" si="4"/>
        <v>23.45103900838498</v>
      </c>
    </row>
    <row r="54" spans="1:8" ht="17.25" customHeight="1">
      <c r="A54" s="59"/>
      <c r="B54" s="343"/>
      <c r="C54" s="337" t="s">
        <v>626</v>
      </c>
      <c r="D54" s="339">
        <f>SUM(D55)</f>
        <v>8000</v>
      </c>
      <c r="E54" s="339">
        <f>SUM(E55)</f>
        <v>-8000</v>
      </c>
      <c r="F54" s="339">
        <f>SUM(F55)</f>
        <v>0</v>
      </c>
      <c r="G54" s="75">
        <f t="shared" si="3"/>
        <v>0</v>
      </c>
      <c r="H54" s="76">
        <f t="shared" si="4"/>
        <v>0</v>
      </c>
    </row>
    <row r="55" spans="1:8" ht="16.5" customHeight="1">
      <c r="A55" s="59">
        <v>722521</v>
      </c>
      <c r="B55" s="343"/>
      <c r="C55" s="340" t="s">
        <v>627</v>
      </c>
      <c r="D55" s="112">
        <v>8000</v>
      </c>
      <c r="E55" s="112">
        <f>F55-D55</f>
        <v>-8000</v>
      </c>
      <c r="F55" s="112">
        <v>0</v>
      </c>
      <c r="G55" s="112">
        <f t="shared" si="3"/>
        <v>0</v>
      </c>
      <c r="H55" s="313">
        <f t="shared" si="4"/>
        <v>0</v>
      </c>
    </row>
    <row r="56" spans="1:8" ht="19.5" customHeight="1">
      <c r="A56" s="59"/>
      <c r="B56" s="60"/>
      <c r="C56" s="342" t="s">
        <v>499</v>
      </c>
      <c r="D56" s="339">
        <f>SUM(D57:D67)</f>
        <v>5935000</v>
      </c>
      <c r="E56" s="339">
        <f>SUM(E57:E67)</f>
        <v>201100</v>
      </c>
      <c r="F56" s="339">
        <f>SUM(F57:F67)</f>
        <v>6136100</v>
      </c>
      <c r="G56" s="75">
        <f t="shared" si="3"/>
        <v>103.3883740522325</v>
      </c>
      <c r="H56" s="76">
        <f t="shared" si="4"/>
        <v>22.370032810791106</v>
      </c>
    </row>
    <row r="57" spans="1:8" ht="14.25" customHeight="1">
      <c r="A57" s="113">
        <v>722561</v>
      </c>
      <c r="B57" s="60"/>
      <c r="C57" s="66" t="s">
        <v>455</v>
      </c>
      <c r="D57" s="62">
        <v>300000</v>
      </c>
      <c r="E57" s="62">
        <f>F57-D57</f>
        <v>12000</v>
      </c>
      <c r="F57" s="62">
        <v>312000</v>
      </c>
      <c r="G57" s="112">
        <f t="shared" si="3"/>
        <v>104</v>
      </c>
      <c r="H57" s="313">
        <f t="shared" si="4"/>
        <v>1.1374407582938388</v>
      </c>
    </row>
    <row r="58" spans="1:8" ht="14.25" customHeight="1">
      <c r="A58" s="113">
        <v>722562</v>
      </c>
      <c r="B58" s="60"/>
      <c r="C58" s="66" t="s">
        <v>456</v>
      </c>
      <c r="D58" s="62">
        <v>25000</v>
      </c>
      <c r="E58" s="62">
        <f aca="true" t="shared" si="6" ref="E58:E67">F58-D58</f>
        <v>15000</v>
      </c>
      <c r="F58" s="62">
        <v>40000</v>
      </c>
      <c r="G58" s="112">
        <f t="shared" si="3"/>
        <v>160</v>
      </c>
      <c r="H58" s="313">
        <f t="shared" si="4"/>
        <v>0.14582573824279985</v>
      </c>
    </row>
    <row r="59" spans="1:8" ht="14.25" customHeight="1">
      <c r="A59" s="113">
        <v>722565</v>
      </c>
      <c r="B59" s="60"/>
      <c r="C59" s="66" t="s">
        <v>504</v>
      </c>
      <c r="D59" s="62">
        <v>650000</v>
      </c>
      <c r="E59" s="62">
        <f t="shared" si="6"/>
        <v>0</v>
      </c>
      <c r="F59" s="62">
        <v>650000</v>
      </c>
      <c r="G59" s="112">
        <f t="shared" si="3"/>
        <v>100</v>
      </c>
      <c r="H59" s="313">
        <f t="shared" si="4"/>
        <v>2.3696682464454977</v>
      </c>
    </row>
    <row r="60" spans="1:8" ht="14.25" customHeight="1">
      <c r="A60" s="113">
        <v>722569</v>
      </c>
      <c r="B60" s="60"/>
      <c r="C60" s="66" t="s">
        <v>457</v>
      </c>
      <c r="D60" s="62">
        <v>0</v>
      </c>
      <c r="E60" s="62">
        <f t="shared" si="6"/>
        <v>0</v>
      </c>
      <c r="F60" s="62">
        <v>0</v>
      </c>
      <c r="G60" s="112" t="e">
        <f t="shared" si="3"/>
        <v>#DIV/0!</v>
      </c>
      <c r="H60" s="313">
        <f t="shared" si="4"/>
        <v>0</v>
      </c>
    </row>
    <row r="61" spans="1:8" ht="14.25" customHeight="1">
      <c r="A61" s="113">
        <v>722571</v>
      </c>
      <c r="B61" s="60"/>
      <c r="C61" s="66" t="s">
        <v>458</v>
      </c>
      <c r="D61" s="62">
        <v>4123000</v>
      </c>
      <c r="E61" s="62">
        <f t="shared" si="6"/>
        <v>174100</v>
      </c>
      <c r="F61" s="62">
        <v>4297100</v>
      </c>
      <c r="G61" s="112">
        <f t="shared" si="3"/>
        <v>104.22265340771284</v>
      </c>
      <c r="H61" s="313">
        <f t="shared" si="4"/>
        <v>15.66569449507838</v>
      </c>
    </row>
    <row r="62" spans="1:8" ht="14.25" customHeight="1">
      <c r="A62" s="113">
        <v>722575</v>
      </c>
      <c r="B62" s="60"/>
      <c r="C62" s="66" t="s">
        <v>463</v>
      </c>
      <c r="D62" s="62">
        <v>370000</v>
      </c>
      <c r="E62" s="62">
        <f t="shared" si="6"/>
        <v>0</v>
      </c>
      <c r="F62" s="62">
        <v>370000</v>
      </c>
      <c r="G62" s="112">
        <f t="shared" si="3"/>
        <v>100</v>
      </c>
      <c r="H62" s="313">
        <f t="shared" si="4"/>
        <v>1.3488880787458988</v>
      </c>
    </row>
    <row r="63" spans="1:8" ht="14.25" customHeight="1">
      <c r="A63" s="113">
        <v>722576</v>
      </c>
      <c r="B63" s="60"/>
      <c r="C63" s="66" t="s">
        <v>459</v>
      </c>
      <c r="D63" s="62">
        <v>28000</v>
      </c>
      <c r="E63" s="62">
        <f t="shared" si="6"/>
        <v>0</v>
      </c>
      <c r="F63" s="62">
        <v>28000</v>
      </c>
      <c r="G63" s="112">
        <f t="shared" si="3"/>
        <v>100</v>
      </c>
      <c r="H63" s="313">
        <f t="shared" si="4"/>
        <v>0.1020780167699599</v>
      </c>
    </row>
    <row r="64" spans="1:8" ht="26.25" customHeight="1">
      <c r="A64" s="113">
        <v>722577</v>
      </c>
      <c r="B64" s="60"/>
      <c r="C64" s="66" t="s">
        <v>464</v>
      </c>
      <c r="D64" s="62">
        <v>230000</v>
      </c>
      <c r="E64" s="62">
        <f t="shared" si="6"/>
        <v>0</v>
      </c>
      <c r="F64" s="62">
        <v>230000</v>
      </c>
      <c r="G64" s="112">
        <f t="shared" si="3"/>
        <v>100</v>
      </c>
      <c r="H64" s="313">
        <f t="shared" si="4"/>
        <v>0.8384979948960992</v>
      </c>
    </row>
    <row r="65" spans="1:8" ht="14.25" customHeight="1">
      <c r="A65" s="113">
        <v>722578</v>
      </c>
      <c r="B65" s="60"/>
      <c r="C65" s="66" t="s">
        <v>460</v>
      </c>
      <c r="D65" s="62">
        <v>200000</v>
      </c>
      <c r="E65" s="62">
        <f t="shared" si="6"/>
        <v>0</v>
      </c>
      <c r="F65" s="62">
        <v>200000</v>
      </c>
      <c r="G65" s="112">
        <f t="shared" si="3"/>
        <v>100</v>
      </c>
      <c r="H65" s="313">
        <f t="shared" si="4"/>
        <v>0.7291286912139993</v>
      </c>
    </row>
    <row r="66" spans="1:8" ht="14.25" customHeight="1">
      <c r="A66" s="113">
        <v>722583</v>
      </c>
      <c r="B66" s="60"/>
      <c r="C66" s="66" t="s">
        <v>461</v>
      </c>
      <c r="D66" s="62">
        <v>2000</v>
      </c>
      <c r="E66" s="62">
        <f t="shared" si="6"/>
        <v>0</v>
      </c>
      <c r="F66" s="62">
        <v>2000</v>
      </c>
      <c r="G66" s="112">
        <f t="shared" si="3"/>
        <v>100</v>
      </c>
      <c r="H66" s="313">
        <f t="shared" si="4"/>
        <v>0.007291286912139993</v>
      </c>
    </row>
    <row r="67" spans="1:8" ht="14.25" customHeight="1">
      <c r="A67" s="113">
        <v>722589</v>
      </c>
      <c r="B67" s="60"/>
      <c r="C67" s="66" t="s">
        <v>462</v>
      </c>
      <c r="D67" s="62">
        <v>7000</v>
      </c>
      <c r="E67" s="62">
        <f t="shared" si="6"/>
        <v>0</v>
      </c>
      <c r="F67" s="62">
        <v>7000</v>
      </c>
      <c r="G67" s="112">
        <f t="shared" si="3"/>
        <v>100</v>
      </c>
      <c r="H67" s="313">
        <f t="shared" si="4"/>
        <v>0.025519504192489974</v>
      </c>
    </row>
    <row r="68" spans="1:8" ht="20.25" customHeight="1">
      <c r="A68" s="113"/>
      <c r="B68" s="60"/>
      <c r="C68" s="65" t="s">
        <v>500</v>
      </c>
      <c r="D68" s="75">
        <f>SUM(D69:D75)</f>
        <v>301700</v>
      </c>
      <c r="E68" s="75">
        <f>SUM(E69:E75)</f>
        <v>-5180</v>
      </c>
      <c r="F68" s="75">
        <f>SUM(F69:F75)</f>
        <v>296520</v>
      </c>
      <c r="G68" s="75">
        <f aca="true" t="shared" si="7" ref="G68:G103">F68/D68*100</f>
        <v>98.2830626450116</v>
      </c>
      <c r="H68" s="76">
        <f aca="true" t="shared" si="8" ref="H68:H103">F68/$F$116*100</f>
        <v>1.0810061975938752</v>
      </c>
    </row>
    <row r="69" spans="1:8" ht="14.25" customHeight="1">
      <c r="A69" s="59">
        <v>722591</v>
      </c>
      <c r="B69" s="60"/>
      <c r="C69" s="67" t="s">
        <v>345</v>
      </c>
      <c r="D69" s="62">
        <v>50000</v>
      </c>
      <c r="E69" s="62">
        <f>F69-D69</f>
        <v>5000</v>
      </c>
      <c r="F69" s="62">
        <v>55000</v>
      </c>
      <c r="G69" s="112">
        <f t="shared" si="7"/>
        <v>110.00000000000001</v>
      </c>
      <c r="H69" s="313">
        <f t="shared" si="8"/>
        <v>0.20051039008384977</v>
      </c>
    </row>
    <row r="70" spans="1:8" ht="14.25" customHeight="1">
      <c r="A70" s="59">
        <v>722591</v>
      </c>
      <c r="B70" s="60"/>
      <c r="C70" s="67" t="s">
        <v>347</v>
      </c>
      <c r="D70" s="62">
        <v>227000</v>
      </c>
      <c r="E70" s="62">
        <f aca="true" t="shared" si="9" ref="E70:E75">F70-D70</f>
        <v>-10000</v>
      </c>
      <c r="F70" s="62">
        <v>217000</v>
      </c>
      <c r="G70" s="112">
        <f t="shared" si="7"/>
        <v>95.59471365638767</v>
      </c>
      <c r="H70" s="313">
        <f t="shared" si="8"/>
        <v>0.7911046299671893</v>
      </c>
    </row>
    <row r="71" spans="1:8" ht="14.25" customHeight="1">
      <c r="A71" s="59">
        <v>722591</v>
      </c>
      <c r="B71" s="60"/>
      <c r="C71" s="67" t="s">
        <v>223</v>
      </c>
      <c r="D71" s="62">
        <v>4200</v>
      </c>
      <c r="E71" s="62">
        <f t="shared" si="9"/>
        <v>0</v>
      </c>
      <c r="F71" s="62">
        <v>4200</v>
      </c>
      <c r="G71" s="112">
        <f t="shared" si="7"/>
        <v>100</v>
      </c>
      <c r="H71" s="313">
        <f t="shared" si="8"/>
        <v>0.015311702515493984</v>
      </c>
    </row>
    <row r="72" spans="1:8" ht="14.25" customHeight="1">
      <c r="A72" s="59">
        <v>722591</v>
      </c>
      <c r="B72" s="60"/>
      <c r="C72" s="66" t="s">
        <v>220</v>
      </c>
      <c r="D72" s="62">
        <v>17000</v>
      </c>
      <c r="E72" s="62">
        <f t="shared" si="9"/>
        <v>0</v>
      </c>
      <c r="F72" s="62">
        <v>17000</v>
      </c>
      <c r="G72" s="112">
        <f t="shared" si="7"/>
        <v>100</v>
      </c>
      <c r="H72" s="313">
        <f t="shared" si="8"/>
        <v>0.061975938753189935</v>
      </c>
    </row>
    <row r="73" spans="1:8" ht="14.25" customHeight="1">
      <c r="A73" s="59">
        <v>722591</v>
      </c>
      <c r="B73" s="60"/>
      <c r="C73" s="67" t="s">
        <v>346</v>
      </c>
      <c r="D73" s="62">
        <v>1500</v>
      </c>
      <c r="E73" s="62">
        <f t="shared" si="9"/>
        <v>0</v>
      </c>
      <c r="F73" s="62">
        <v>1500</v>
      </c>
      <c r="G73" s="112">
        <f t="shared" si="7"/>
        <v>100</v>
      </c>
      <c r="H73" s="313">
        <f t="shared" si="8"/>
        <v>0.005468465184104995</v>
      </c>
    </row>
    <row r="74" spans="1:8" ht="14.25" customHeight="1">
      <c r="A74" s="59">
        <v>722591</v>
      </c>
      <c r="B74" s="60"/>
      <c r="C74" s="66" t="s">
        <v>348</v>
      </c>
      <c r="D74" s="62">
        <v>1100</v>
      </c>
      <c r="E74" s="62">
        <f t="shared" si="9"/>
        <v>0</v>
      </c>
      <c r="F74" s="62">
        <v>1100</v>
      </c>
      <c r="G74" s="112">
        <f t="shared" si="7"/>
        <v>100</v>
      </c>
      <c r="H74" s="313">
        <f t="shared" si="8"/>
        <v>0.0040102078016769965</v>
      </c>
    </row>
    <row r="75" spans="1:8" ht="14.25" customHeight="1">
      <c r="A75" s="59">
        <v>722591</v>
      </c>
      <c r="B75" s="60"/>
      <c r="C75" s="66" t="s">
        <v>330</v>
      </c>
      <c r="D75" s="62">
        <v>900</v>
      </c>
      <c r="E75" s="62">
        <f t="shared" si="9"/>
        <v>-180</v>
      </c>
      <c r="F75" s="62">
        <v>720</v>
      </c>
      <c r="G75" s="112">
        <f t="shared" si="7"/>
        <v>80</v>
      </c>
      <c r="H75" s="313">
        <f t="shared" si="8"/>
        <v>0.0026248632883703973</v>
      </c>
    </row>
    <row r="76" spans="1:8" ht="18.75" customHeight="1">
      <c r="A76" s="46">
        <v>723000</v>
      </c>
      <c r="B76" s="47"/>
      <c r="C76" s="80" t="s">
        <v>17</v>
      </c>
      <c r="D76" s="81">
        <f>D77</f>
        <v>45000</v>
      </c>
      <c r="E76" s="81">
        <f>E77</f>
        <v>40000</v>
      </c>
      <c r="F76" s="81">
        <f>F77</f>
        <v>85000</v>
      </c>
      <c r="G76" s="56">
        <f t="shared" si="7"/>
        <v>188.88888888888889</v>
      </c>
      <c r="H76" s="58">
        <f t="shared" si="8"/>
        <v>0.3098796937659497</v>
      </c>
    </row>
    <row r="77" spans="1:8" ht="25.5" customHeight="1">
      <c r="A77" s="59">
        <v>723121</v>
      </c>
      <c r="B77" s="60"/>
      <c r="C77" s="66" t="s">
        <v>628</v>
      </c>
      <c r="D77" s="112">
        <v>45000</v>
      </c>
      <c r="E77" s="112">
        <f>F77-D77</f>
        <v>40000</v>
      </c>
      <c r="F77" s="112">
        <v>85000</v>
      </c>
      <c r="G77" s="112">
        <f t="shared" si="7"/>
        <v>188.88888888888889</v>
      </c>
      <c r="H77" s="313">
        <f t="shared" si="8"/>
        <v>0.3098796937659497</v>
      </c>
    </row>
    <row r="78" spans="1:8" ht="30" customHeight="1">
      <c r="A78" s="353">
        <v>728000</v>
      </c>
      <c r="B78" s="338"/>
      <c r="C78" s="337" t="s">
        <v>465</v>
      </c>
      <c r="D78" s="312">
        <f>SUM(D79:D80)</f>
        <v>40500</v>
      </c>
      <c r="E78" s="312">
        <f>SUM(E79:E80)</f>
        <v>0</v>
      </c>
      <c r="F78" s="312">
        <f>SUM(F79:F80)</f>
        <v>40500</v>
      </c>
      <c r="G78" s="56">
        <f t="shared" si="7"/>
        <v>100</v>
      </c>
      <c r="H78" s="58">
        <f t="shared" si="8"/>
        <v>0.14764855997083487</v>
      </c>
    </row>
    <row r="79" spans="1:8" ht="20.25" customHeight="1">
      <c r="A79" s="113">
        <v>728211</v>
      </c>
      <c r="B79" s="60"/>
      <c r="C79" s="66" t="s">
        <v>501</v>
      </c>
      <c r="D79" s="62">
        <v>37000</v>
      </c>
      <c r="E79" s="62">
        <f>F79-D79</f>
        <v>0</v>
      </c>
      <c r="F79" s="62">
        <v>37000</v>
      </c>
      <c r="G79" s="112">
        <f t="shared" si="7"/>
        <v>100</v>
      </c>
      <c r="H79" s="313">
        <f t="shared" si="8"/>
        <v>0.13488880787458987</v>
      </c>
    </row>
    <row r="80" spans="1:8" ht="29.25" customHeight="1">
      <c r="A80" s="113">
        <v>728251</v>
      </c>
      <c r="B80" s="60"/>
      <c r="C80" s="66" t="s">
        <v>502</v>
      </c>
      <c r="D80" s="62">
        <v>3500</v>
      </c>
      <c r="E80" s="62">
        <f>F80-D80</f>
        <v>0</v>
      </c>
      <c r="F80" s="62">
        <v>3500</v>
      </c>
      <c r="G80" s="112">
        <f t="shared" si="7"/>
        <v>100</v>
      </c>
      <c r="H80" s="313">
        <f t="shared" si="8"/>
        <v>0.012759752096244987</v>
      </c>
    </row>
    <row r="81" spans="1:8" ht="16.5" customHeight="1">
      <c r="A81" s="46">
        <v>729000</v>
      </c>
      <c r="B81" s="47"/>
      <c r="C81" s="65" t="s">
        <v>18</v>
      </c>
      <c r="D81" s="81">
        <f>SUM(D82:D82)</f>
        <v>90000</v>
      </c>
      <c r="E81" s="81">
        <f>SUM(E82:E82)</f>
        <v>-25000</v>
      </c>
      <c r="F81" s="81">
        <f>SUM(F82:F82)</f>
        <v>65000</v>
      </c>
      <c r="G81" s="56">
        <f t="shared" si="7"/>
        <v>72.22222222222221</v>
      </c>
      <c r="H81" s="58">
        <f t="shared" si="8"/>
        <v>0.23696682464454977</v>
      </c>
    </row>
    <row r="82" spans="1:8" ht="15" customHeight="1">
      <c r="A82" s="59">
        <v>729124</v>
      </c>
      <c r="B82" s="60"/>
      <c r="C82" s="82" t="s">
        <v>617</v>
      </c>
      <c r="D82" s="62">
        <v>90000</v>
      </c>
      <c r="E82" s="62">
        <f>F82-D82</f>
        <v>-25000</v>
      </c>
      <c r="F82" s="62">
        <v>65000</v>
      </c>
      <c r="G82" s="112">
        <f t="shared" si="7"/>
        <v>72.22222222222221</v>
      </c>
      <c r="H82" s="313">
        <f t="shared" si="8"/>
        <v>0.23696682464454977</v>
      </c>
    </row>
    <row r="83" spans="1:8" ht="16.5" customHeight="1">
      <c r="A83" s="83">
        <v>730000</v>
      </c>
      <c r="B83" s="84"/>
      <c r="C83" s="85" t="s">
        <v>209</v>
      </c>
      <c r="D83" s="49">
        <f>D84+D87</f>
        <v>0</v>
      </c>
      <c r="E83" s="49">
        <f>E84+E87</f>
        <v>356528.23</v>
      </c>
      <c r="F83" s="49">
        <f>F84+F87</f>
        <v>356528.23</v>
      </c>
      <c r="G83" s="50" t="e">
        <f t="shared" si="7"/>
        <v>#DIV/0!</v>
      </c>
      <c r="H83" s="374">
        <f t="shared" si="8"/>
        <v>1.2997748086037184</v>
      </c>
    </row>
    <row r="84" spans="1:8" ht="16.5" customHeight="1">
      <c r="A84" s="78">
        <v>731100</v>
      </c>
      <c r="B84" s="84"/>
      <c r="C84" s="86" t="s">
        <v>379</v>
      </c>
      <c r="D84" s="55">
        <f>SUM(D85:D86)</f>
        <v>0</v>
      </c>
      <c r="E84" s="55">
        <f>SUM(E85:E86)</f>
        <v>260459.96</v>
      </c>
      <c r="F84" s="55">
        <f>SUM(F85:F86)</f>
        <v>260459.96</v>
      </c>
      <c r="G84" s="56" t="e">
        <f t="shared" si="7"/>
        <v>#DIV/0!</v>
      </c>
      <c r="H84" s="58">
        <f t="shared" si="8"/>
        <v>0.949544148742253</v>
      </c>
    </row>
    <row r="85" spans="1:8" ht="32.25" customHeight="1">
      <c r="A85" s="113">
        <v>731100</v>
      </c>
      <c r="B85" s="114"/>
      <c r="C85" s="115" t="s">
        <v>595</v>
      </c>
      <c r="D85" s="88">
        <v>0</v>
      </c>
      <c r="E85" s="88">
        <f>F85-D85</f>
        <v>23469.96</v>
      </c>
      <c r="F85" s="88">
        <v>23469.96</v>
      </c>
      <c r="G85" s="112" t="e">
        <f t="shared" si="7"/>
        <v>#DIV/0!</v>
      </c>
      <c r="H85" s="313">
        <f t="shared" si="8"/>
        <v>0.08556310608822457</v>
      </c>
    </row>
    <row r="86" spans="1:8" ht="32.25" customHeight="1">
      <c r="A86" s="113">
        <v>731100</v>
      </c>
      <c r="B86" s="114"/>
      <c r="C86" s="115" t="s">
        <v>636</v>
      </c>
      <c r="D86" s="88">
        <v>0</v>
      </c>
      <c r="E86" s="88">
        <f>F86-D86</f>
        <v>236990</v>
      </c>
      <c r="F86" s="88">
        <v>236990</v>
      </c>
      <c r="G86" s="112" t="e">
        <f t="shared" si="7"/>
        <v>#DIV/0!</v>
      </c>
      <c r="H86" s="313">
        <f t="shared" si="8"/>
        <v>0.8639810426540283</v>
      </c>
    </row>
    <row r="87" spans="1:8" ht="18" customHeight="1">
      <c r="A87" s="78">
        <v>731200</v>
      </c>
      <c r="B87" s="79"/>
      <c r="C87" s="86" t="s">
        <v>164</v>
      </c>
      <c r="D87" s="55">
        <f>SUM(D88:D91)</f>
        <v>0</v>
      </c>
      <c r="E87" s="55">
        <f>SUM(E88:E91)</f>
        <v>96068.27</v>
      </c>
      <c r="F87" s="55">
        <f>SUM(F88:F91)</f>
        <v>96068.27</v>
      </c>
      <c r="G87" s="56" t="e">
        <f t="shared" si="7"/>
        <v>#DIV/0!</v>
      </c>
      <c r="H87" s="58">
        <f t="shared" si="8"/>
        <v>0.35023065986146557</v>
      </c>
    </row>
    <row r="88" spans="1:8" ht="39.75" customHeight="1">
      <c r="A88" s="73">
        <v>731200</v>
      </c>
      <c r="B88" s="90"/>
      <c r="C88" s="87" t="s">
        <v>594</v>
      </c>
      <c r="D88" s="62">
        <v>0</v>
      </c>
      <c r="E88" s="62">
        <f>F88-D88</f>
        <v>7498.77</v>
      </c>
      <c r="F88" s="62">
        <v>7498.77</v>
      </c>
      <c r="G88" s="112" t="e">
        <f t="shared" si="7"/>
        <v>#DIV/0!</v>
      </c>
      <c r="H88" s="313">
        <f t="shared" si="8"/>
        <v>0.027337841779074005</v>
      </c>
    </row>
    <row r="89" spans="1:8" ht="27.75" customHeight="1">
      <c r="A89" s="59">
        <v>731200</v>
      </c>
      <c r="B89" s="60"/>
      <c r="C89" s="69" t="s">
        <v>592</v>
      </c>
      <c r="D89" s="62">
        <v>0</v>
      </c>
      <c r="E89" s="62">
        <f>F89-D89</f>
        <v>46699.5</v>
      </c>
      <c r="F89" s="62">
        <v>46699.5</v>
      </c>
      <c r="G89" s="112" t="e">
        <f t="shared" si="7"/>
        <v>#DIV/0!</v>
      </c>
      <c r="H89" s="313">
        <f t="shared" si="8"/>
        <v>0.17024972657674078</v>
      </c>
    </row>
    <row r="90" spans="1:8" ht="27.75" customHeight="1">
      <c r="A90" s="59">
        <v>731200</v>
      </c>
      <c r="B90" s="60"/>
      <c r="C90" s="69" t="s">
        <v>648</v>
      </c>
      <c r="D90" s="62">
        <v>0</v>
      </c>
      <c r="E90" s="62">
        <f>F90-D90</f>
        <v>40670</v>
      </c>
      <c r="F90" s="62">
        <v>40670</v>
      </c>
      <c r="G90" s="112" t="e">
        <f t="shared" si="7"/>
        <v>#DIV/0!</v>
      </c>
      <c r="H90" s="313">
        <f t="shared" si="8"/>
        <v>0.14826831935836676</v>
      </c>
    </row>
    <row r="91" spans="1:8" ht="27.75" customHeight="1">
      <c r="A91" s="59">
        <v>731200</v>
      </c>
      <c r="B91" s="60"/>
      <c r="C91" s="69" t="s">
        <v>622</v>
      </c>
      <c r="D91" s="62">
        <v>0</v>
      </c>
      <c r="E91" s="62">
        <f>F91-D91</f>
        <v>1200</v>
      </c>
      <c r="F91" s="62">
        <v>1200</v>
      </c>
      <c r="G91" s="112" t="e">
        <f t="shared" si="7"/>
        <v>#DIV/0!</v>
      </c>
      <c r="H91" s="313">
        <f t="shared" si="8"/>
        <v>0.004374772147283996</v>
      </c>
    </row>
    <row r="92" spans="1:8" s="2" customFormat="1" ht="19.5" customHeight="1">
      <c r="A92" s="83">
        <v>780000</v>
      </c>
      <c r="B92" s="84"/>
      <c r="C92" s="91" t="s">
        <v>280</v>
      </c>
      <c r="D92" s="49">
        <f>D93+D105</f>
        <v>1779400</v>
      </c>
      <c r="E92" s="49">
        <f>E93+E105</f>
        <v>419936.54</v>
      </c>
      <c r="F92" s="49">
        <f>F93+F105</f>
        <v>2199336.54</v>
      </c>
      <c r="G92" s="50">
        <f t="shared" si="7"/>
        <v>123.59989547038327</v>
      </c>
      <c r="H92" s="158">
        <f t="shared" si="8"/>
        <v>8.017996864746628</v>
      </c>
    </row>
    <row r="93" spans="1:8" s="2" customFormat="1" ht="27.75" customHeight="1">
      <c r="A93" s="46">
        <v>787000</v>
      </c>
      <c r="B93" s="47"/>
      <c r="C93" s="80" t="s">
        <v>294</v>
      </c>
      <c r="D93" s="55">
        <f>SUM(D94:D104)</f>
        <v>1779400</v>
      </c>
      <c r="E93" s="55">
        <f>SUM(E94:E104)</f>
        <v>419936.54</v>
      </c>
      <c r="F93" s="55">
        <f>SUM(F94:F104)</f>
        <v>2199336.54</v>
      </c>
      <c r="G93" s="56">
        <f t="shared" si="7"/>
        <v>123.59989547038327</v>
      </c>
      <c r="H93" s="58">
        <f t="shared" si="8"/>
        <v>8.017996864746628</v>
      </c>
    </row>
    <row r="94" spans="1:8" s="2" customFormat="1" ht="25.5" customHeight="1">
      <c r="A94" s="70">
        <v>787200</v>
      </c>
      <c r="B94" s="71"/>
      <c r="C94" s="156" t="s">
        <v>210</v>
      </c>
      <c r="D94" s="62">
        <v>1228000</v>
      </c>
      <c r="E94" s="62">
        <f>F94-D94</f>
        <v>229500</v>
      </c>
      <c r="F94" s="62">
        <v>1457500</v>
      </c>
      <c r="G94" s="112">
        <f t="shared" si="7"/>
        <v>118.68892508143323</v>
      </c>
      <c r="H94" s="313">
        <f t="shared" si="8"/>
        <v>5.31352533722202</v>
      </c>
    </row>
    <row r="95" spans="1:8" s="2" customFormat="1" ht="39.75" customHeight="1">
      <c r="A95" s="70">
        <v>787200</v>
      </c>
      <c r="B95" s="71"/>
      <c r="C95" s="156" t="s">
        <v>316</v>
      </c>
      <c r="D95" s="62">
        <v>26500</v>
      </c>
      <c r="E95" s="62">
        <f aca="true" t="shared" si="10" ref="E95:E104">F95-D95</f>
        <v>4500</v>
      </c>
      <c r="F95" s="62">
        <v>31000</v>
      </c>
      <c r="G95" s="112">
        <f t="shared" si="7"/>
        <v>116.98113207547169</v>
      </c>
      <c r="H95" s="313">
        <f t="shared" si="8"/>
        <v>0.11301494713816988</v>
      </c>
    </row>
    <row r="96" spans="1:8" s="2" customFormat="1" ht="25.5" customHeight="1">
      <c r="A96" s="113">
        <v>787200</v>
      </c>
      <c r="B96" s="71"/>
      <c r="C96" s="156" t="s">
        <v>380</v>
      </c>
      <c r="D96" s="62">
        <v>5000</v>
      </c>
      <c r="E96" s="62">
        <f t="shared" si="10"/>
        <v>326.5</v>
      </c>
      <c r="F96" s="62">
        <v>5326.5</v>
      </c>
      <c r="G96" s="112">
        <f t="shared" si="7"/>
        <v>106.52999999999999</v>
      </c>
      <c r="H96" s="313">
        <f t="shared" si="8"/>
        <v>0.019418519868756836</v>
      </c>
    </row>
    <row r="97" spans="1:8" s="2" customFormat="1" ht="23.25" customHeight="1">
      <c r="A97" s="70">
        <v>787200</v>
      </c>
      <c r="B97" s="71"/>
      <c r="C97" s="156" t="s">
        <v>393</v>
      </c>
      <c r="D97" s="62">
        <v>467000</v>
      </c>
      <c r="E97" s="62">
        <f t="shared" si="10"/>
        <v>93000</v>
      </c>
      <c r="F97" s="62">
        <v>560000</v>
      </c>
      <c r="G97" s="112">
        <f t="shared" si="7"/>
        <v>119.91434689507494</v>
      </c>
      <c r="H97" s="313">
        <f t="shared" si="8"/>
        <v>2.041560335399198</v>
      </c>
    </row>
    <row r="98" spans="1:8" s="2" customFormat="1" ht="36.75" customHeight="1">
      <c r="A98" s="70">
        <v>787200</v>
      </c>
      <c r="B98" s="71"/>
      <c r="C98" s="69" t="s">
        <v>526</v>
      </c>
      <c r="D98" s="62">
        <v>44000</v>
      </c>
      <c r="E98" s="62">
        <f t="shared" si="10"/>
        <v>0</v>
      </c>
      <c r="F98" s="62">
        <v>44000</v>
      </c>
      <c r="G98" s="112">
        <f t="shared" si="7"/>
        <v>100</v>
      </c>
      <c r="H98" s="313">
        <f t="shared" si="8"/>
        <v>0.16040831206707984</v>
      </c>
    </row>
    <row r="99" spans="1:8" s="2" customFormat="1" ht="36.75" customHeight="1">
      <c r="A99" s="70">
        <v>787200</v>
      </c>
      <c r="B99" s="71"/>
      <c r="C99" s="69" t="s">
        <v>618</v>
      </c>
      <c r="D99" s="62">
        <v>0</v>
      </c>
      <c r="E99" s="62">
        <f t="shared" si="10"/>
        <v>2706</v>
      </c>
      <c r="F99" s="62">
        <v>2706</v>
      </c>
      <c r="G99" s="112" t="e">
        <f t="shared" si="7"/>
        <v>#DIV/0!</v>
      </c>
      <c r="H99" s="313">
        <f t="shared" si="8"/>
        <v>0.00986511119212541</v>
      </c>
    </row>
    <row r="100" spans="1:8" s="2" customFormat="1" ht="25.5">
      <c r="A100" s="70">
        <v>787200</v>
      </c>
      <c r="B100" s="71"/>
      <c r="C100" s="69" t="s">
        <v>593</v>
      </c>
      <c r="D100" s="62">
        <v>0</v>
      </c>
      <c r="E100" s="62">
        <f t="shared" si="10"/>
        <v>50000</v>
      </c>
      <c r="F100" s="62">
        <v>50000</v>
      </c>
      <c r="G100" s="112" t="e">
        <f t="shared" si="7"/>
        <v>#DIV/0!</v>
      </c>
      <c r="H100" s="313">
        <f t="shared" si="8"/>
        <v>0.18228217280349981</v>
      </c>
    </row>
    <row r="101" spans="1:8" s="2" customFormat="1" ht="25.5">
      <c r="A101" s="70">
        <v>787200</v>
      </c>
      <c r="B101" s="71"/>
      <c r="C101" s="69" t="s">
        <v>649</v>
      </c>
      <c r="D101" s="62">
        <v>0</v>
      </c>
      <c r="E101" s="62">
        <f t="shared" si="10"/>
        <v>40000</v>
      </c>
      <c r="F101" s="62">
        <v>40000</v>
      </c>
      <c r="G101" s="112" t="e">
        <f t="shared" si="7"/>
        <v>#DIV/0!</v>
      </c>
      <c r="H101" s="313">
        <f t="shared" si="8"/>
        <v>0.14582573824279985</v>
      </c>
    </row>
    <row r="102" spans="1:8" s="2" customFormat="1" ht="24" customHeight="1">
      <c r="A102" s="70">
        <v>787200</v>
      </c>
      <c r="B102" s="71"/>
      <c r="C102" s="69" t="s">
        <v>336</v>
      </c>
      <c r="D102" s="62">
        <v>6000</v>
      </c>
      <c r="E102" s="62">
        <f t="shared" si="10"/>
        <v>-2300</v>
      </c>
      <c r="F102" s="62">
        <v>3700</v>
      </c>
      <c r="G102" s="112">
        <f t="shared" si="7"/>
        <v>61.66666666666667</v>
      </c>
      <c r="H102" s="313">
        <f t="shared" si="8"/>
        <v>0.013488880787458987</v>
      </c>
    </row>
    <row r="103" spans="1:8" s="2" customFormat="1" ht="24" customHeight="1">
      <c r="A103" s="70">
        <v>787300</v>
      </c>
      <c r="B103" s="71"/>
      <c r="C103" s="69" t="s">
        <v>344</v>
      </c>
      <c r="D103" s="62">
        <v>1200</v>
      </c>
      <c r="E103" s="62">
        <f t="shared" si="10"/>
        <v>2300</v>
      </c>
      <c r="F103" s="62">
        <v>3500</v>
      </c>
      <c r="G103" s="112">
        <f t="shared" si="7"/>
        <v>291.66666666666663</v>
      </c>
      <c r="H103" s="313">
        <f t="shared" si="8"/>
        <v>0.012759752096244987</v>
      </c>
    </row>
    <row r="104" spans="1:8" s="2" customFormat="1" ht="25.5">
      <c r="A104" s="377">
        <v>787400</v>
      </c>
      <c r="B104" s="71"/>
      <c r="C104" s="69" t="s">
        <v>359</v>
      </c>
      <c r="D104" s="62">
        <v>1700</v>
      </c>
      <c r="E104" s="62">
        <f t="shared" si="10"/>
        <v>-95.96000000000004</v>
      </c>
      <c r="F104" s="62">
        <v>1604.04</v>
      </c>
      <c r="G104" s="112">
        <f aca="true" t="shared" si="11" ref="G104:G116">F104/D104*100</f>
        <v>94.35529411764706</v>
      </c>
      <c r="H104" s="313">
        <f aca="true" t="shared" si="12" ref="H104:H116">F104/$F$116*100</f>
        <v>0.005847757929274517</v>
      </c>
    </row>
    <row r="105" spans="1:8" s="2" customFormat="1" ht="16.5" customHeight="1">
      <c r="A105" s="116">
        <v>788000</v>
      </c>
      <c r="B105" s="117"/>
      <c r="C105" s="118" t="s">
        <v>411</v>
      </c>
      <c r="D105" s="55">
        <f>SUM(D106)</f>
        <v>0</v>
      </c>
      <c r="E105" s="55">
        <f>SUM(E106)</f>
        <v>0</v>
      </c>
      <c r="F105" s="55">
        <f>SUM(F106)</f>
        <v>0</v>
      </c>
      <c r="G105" s="56" t="e">
        <f t="shared" si="11"/>
        <v>#DIV/0!</v>
      </c>
      <c r="H105" s="45">
        <f t="shared" si="12"/>
        <v>0</v>
      </c>
    </row>
    <row r="106" spans="1:8" s="2" customFormat="1" ht="12.75">
      <c r="A106" s="70">
        <v>788100</v>
      </c>
      <c r="B106" s="71"/>
      <c r="C106" s="69" t="s">
        <v>599</v>
      </c>
      <c r="D106" s="62">
        <v>0</v>
      </c>
      <c r="E106" s="62">
        <f>F106-D106</f>
        <v>0</v>
      </c>
      <c r="F106" s="62">
        <v>0</v>
      </c>
      <c r="G106" s="112" t="e">
        <f t="shared" si="11"/>
        <v>#DIV/0!</v>
      </c>
      <c r="H106" s="313">
        <f t="shared" si="12"/>
        <v>0</v>
      </c>
    </row>
    <row r="107" spans="1:8" ht="17.25" customHeight="1">
      <c r="A107" s="46">
        <v>810000</v>
      </c>
      <c r="B107" s="17"/>
      <c r="C107" s="92" t="s">
        <v>244</v>
      </c>
      <c r="D107" s="44">
        <f>D108+D110+D112+D114</f>
        <v>722000</v>
      </c>
      <c r="E107" s="44">
        <f>E108+E110+E112+E114</f>
        <v>15015.230000000003</v>
      </c>
      <c r="F107" s="44">
        <f>F108+F110+F112+F114</f>
        <v>737015.23</v>
      </c>
      <c r="G107" s="375">
        <f t="shared" si="11"/>
        <v>102.07967174515235</v>
      </c>
      <c r="H107" s="45">
        <f t="shared" si="12"/>
        <v>2.6868947502734235</v>
      </c>
    </row>
    <row r="108" spans="1:8" ht="18" customHeight="1">
      <c r="A108" s="46">
        <v>811000</v>
      </c>
      <c r="B108" s="47"/>
      <c r="C108" s="80" t="s">
        <v>163</v>
      </c>
      <c r="D108" s="55">
        <f>SUM(D109)</f>
        <v>0</v>
      </c>
      <c r="E108" s="55">
        <f>SUM(E109)</f>
        <v>2120</v>
      </c>
      <c r="F108" s="55">
        <f>SUM(F109)</f>
        <v>2120</v>
      </c>
      <c r="G108" s="454" t="e">
        <f t="shared" si="11"/>
        <v>#DIV/0!</v>
      </c>
      <c r="H108" s="455">
        <f t="shared" si="12"/>
        <v>0.0077287641268683925</v>
      </c>
    </row>
    <row r="109" spans="1:8" ht="17.25" customHeight="1">
      <c r="A109" s="59">
        <v>811200</v>
      </c>
      <c r="B109" s="93" t="s">
        <v>21</v>
      </c>
      <c r="C109" s="69" t="s">
        <v>637</v>
      </c>
      <c r="D109" s="62">
        <v>0</v>
      </c>
      <c r="E109" s="62">
        <f>F109-D109</f>
        <v>2120</v>
      </c>
      <c r="F109" s="62">
        <v>2120</v>
      </c>
      <c r="G109" s="75" t="e">
        <f t="shared" si="11"/>
        <v>#DIV/0!</v>
      </c>
      <c r="H109" s="76">
        <f t="shared" si="12"/>
        <v>0.0077287641268683925</v>
      </c>
    </row>
    <row r="110" spans="1:8" ht="18" customHeight="1">
      <c r="A110" s="46">
        <v>813000</v>
      </c>
      <c r="B110" s="47"/>
      <c r="C110" s="80" t="s">
        <v>150</v>
      </c>
      <c r="D110" s="55">
        <f>SUM(D111:D111)</f>
        <v>680000</v>
      </c>
      <c r="E110" s="55">
        <f>SUM(E111:E111)</f>
        <v>0</v>
      </c>
      <c r="F110" s="55">
        <f>SUM(F111:F111)</f>
        <v>680000</v>
      </c>
      <c r="G110" s="56">
        <f t="shared" si="11"/>
        <v>100</v>
      </c>
      <c r="H110" s="58">
        <f t="shared" si="12"/>
        <v>2.4790375501275976</v>
      </c>
    </row>
    <row r="111" spans="1:8" ht="14.25" customHeight="1">
      <c r="A111" s="59">
        <v>813110</v>
      </c>
      <c r="B111" s="93" t="s">
        <v>21</v>
      </c>
      <c r="C111" s="69" t="s">
        <v>151</v>
      </c>
      <c r="D111" s="62">
        <v>680000</v>
      </c>
      <c r="E111" s="62">
        <f>F111-D111</f>
        <v>0</v>
      </c>
      <c r="F111" s="62">
        <v>680000</v>
      </c>
      <c r="G111" s="112">
        <f t="shared" si="11"/>
        <v>100</v>
      </c>
      <c r="H111" s="313">
        <f t="shared" si="12"/>
        <v>2.4790375501275976</v>
      </c>
    </row>
    <row r="112" spans="1:8" ht="27" customHeight="1">
      <c r="A112" s="398">
        <v>814000</v>
      </c>
      <c r="B112" s="93"/>
      <c r="C112" s="118" t="s">
        <v>527</v>
      </c>
      <c r="D112" s="339">
        <f>SUM(D113)</f>
        <v>0</v>
      </c>
      <c r="E112" s="339">
        <f>SUM(E113)</f>
        <v>0</v>
      </c>
      <c r="F112" s="339">
        <f>SUM(F113)</f>
        <v>0</v>
      </c>
      <c r="G112" s="339" t="e">
        <f t="shared" si="11"/>
        <v>#DIV/0!</v>
      </c>
      <c r="H112" s="400">
        <f t="shared" si="12"/>
        <v>0</v>
      </c>
    </row>
    <row r="113" spans="1:8" ht="18" customHeight="1">
      <c r="A113" s="396">
        <v>814112</v>
      </c>
      <c r="B113" s="93" t="s">
        <v>29</v>
      </c>
      <c r="C113" s="399" t="s">
        <v>528</v>
      </c>
      <c r="D113" s="62">
        <v>0</v>
      </c>
      <c r="E113" s="62">
        <f>F113-D113</f>
        <v>0</v>
      </c>
      <c r="F113" s="62">
        <v>0</v>
      </c>
      <c r="G113" s="112" t="e">
        <f t="shared" si="11"/>
        <v>#DIV/0!</v>
      </c>
      <c r="H113" s="313">
        <f t="shared" si="12"/>
        <v>0</v>
      </c>
    </row>
    <row r="114" spans="1:8" ht="25.5" customHeight="1">
      <c r="A114" s="46">
        <v>816000</v>
      </c>
      <c r="B114" s="47"/>
      <c r="C114" s="80" t="s">
        <v>232</v>
      </c>
      <c r="D114" s="55">
        <f>SUM(D115)</f>
        <v>42000</v>
      </c>
      <c r="E114" s="55">
        <f>SUM(E115)</f>
        <v>12895.230000000003</v>
      </c>
      <c r="F114" s="55">
        <f>SUM(F115)</f>
        <v>54895.23</v>
      </c>
      <c r="G114" s="56">
        <f t="shared" si="11"/>
        <v>130.70292857142857</v>
      </c>
      <c r="H114" s="58">
        <f t="shared" si="12"/>
        <v>0.20012843601895738</v>
      </c>
    </row>
    <row r="115" spans="1:8" ht="15" customHeight="1">
      <c r="A115" s="70">
        <v>816150</v>
      </c>
      <c r="B115" s="93" t="s">
        <v>29</v>
      </c>
      <c r="C115" s="69" t="s">
        <v>156</v>
      </c>
      <c r="D115" s="62">
        <v>42000</v>
      </c>
      <c r="E115" s="62">
        <f>F115-D115</f>
        <v>12895.230000000003</v>
      </c>
      <c r="F115" s="62">
        <v>54895.23</v>
      </c>
      <c r="G115" s="112">
        <f t="shared" si="11"/>
        <v>130.70292857142857</v>
      </c>
      <c r="H115" s="313">
        <f t="shared" si="12"/>
        <v>0.20012843601895738</v>
      </c>
    </row>
    <row r="116" spans="1:8" ht="29.25" customHeight="1" thickBot="1">
      <c r="A116" s="351"/>
      <c r="B116" s="94"/>
      <c r="C116" s="95" t="s">
        <v>245</v>
      </c>
      <c r="D116" s="96">
        <f>D5+D107</f>
        <v>25935000</v>
      </c>
      <c r="E116" s="96">
        <f>E5+E107</f>
        <v>1495000</v>
      </c>
      <c r="F116" s="96">
        <f>F5+F107</f>
        <v>27430000</v>
      </c>
      <c r="G116" s="376">
        <f t="shared" si="11"/>
        <v>105.76441102756893</v>
      </c>
      <c r="H116" s="98">
        <f t="shared" si="12"/>
        <v>100</v>
      </c>
    </row>
    <row r="117" spans="1:8" ht="21.75" customHeight="1" thickTop="1">
      <c r="A117" s="427"/>
      <c r="B117" s="428"/>
      <c r="C117" s="429"/>
      <c r="D117" s="430"/>
      <c r="E117" s="430"/>
      <c r="F117" s="430"/>
      <c r="G117" s="431"/>
      <c r="H117" s="431"/>
    </row>
    <row r="118" spans="1:8" ht="42.75" customHeight="1">
      <c r="A118" s="427"/>
      <c r="B118" s="428"/>
      <c r="C118" s="429"/>
      <c r="D118" s="430"/>
      <c r="E118" s="430"/>
      <c r="F118" s="430"/>
      <c r="G118" s="431"/>
      <c r="H118" s="431"/>
    </row>
    <row r="119" ht="12.75">
      <c r="F119" s="24"/>
    </row>
    <row r="120" ht="12.75">
      <c r="F120" s="24"/>
    </row>
    <row r="121" spans="6:10" ht="12.75">
      <c r="F121" s="24"/>
      <c r="I121" s="1"/>
      <c r="J121" s="1"/>
    </row>
    <row r="122" spans="6:11" ht="12.75">
      <c r="F122" s="24"/>
      <c r="K122" s="1"/>
    </row>
    <row r="123" ht="12.75">
      <c r="F123" s="24"/>
    </row>
    <row r="134" spans="4:8" s="17" customFormat="1" ht="12.75">
      <c r="D134" s="446"/>
      <c r="E134" s="446"/>
      <c r="F134" s="446"/>
      <c r="G134" s="446"/>
      <c r="H134" s="446"/>
    </row>
    <row r="135" spans="4:8" s="17" customFormat="1" ht="12.75">
      <c r="D135" s="446"/>
      <c r="E135" s="446"/>
      <c r="F135" s="446"/>
      <c r="G135" s="446"/>
      <c r="H135" s="446"/>
    </row>
    <row r="136" spans="4:8" s="17" customFormat="1" ht="12.75">
      <c r="D136" s="446"/>
      <c r="E136" s="446"/>
      <c r="F136" s="446"/>
      <c r="G136" s="446"/>
      <c r="H136" s="446"/>
    </row>
    <row r="137" spans="4:8" s="17" customFormat="1" ht="12.75">
      <c r="D137" s="446"/>
      <c r="E137" s="446"/>
      <c r="F137" s="446"/>
      <c r="G137" s="446"/>
      <c r="H137" s="446"/>
    </row>
    <row r="138" spans="4:8" s="17" customFormat="1" ht="12.75">
      <c r="D138" s="446"/>
      <c r="E138" s="446"/>
      <c r="F138" s="446"/>
      <c r="G138" s="446"/>
      <c r="H138" s="446"/>
    </row>
    <row r="139" spans="4:8" s="17" customFormat="1" ht="12.75">
      <c r="D139" s="446"/>
      <c r="E139" s="446"/>
      <c r="F139" s="446"/>
      <c r="G139" s="446"/>
      <c r="H139" s="446"/>
    </row>
    <row r="140" spans="4:8" s="17" customFormat="1" ht="12.75">
      <c r="D140" s="446"/>
      <c r="E140" s="446"/>
      <c r="F140" s="446"/>
      <c r="G140" s="446"/>
      <c r="H140" s="446"/>
    </row>
    <row r="141" spans="4:8" s="17" customFormat="1" ht="12.75">
      <c r="D141" s="446"/>
      <c r="E141" s="446"/>
      <c r="F141" s="446"/>
      <c r="G141" s="446"/>
      <c r="H141" s="446"/>
    </row>
    <row r="142" spans="4:8" s="17" customFormat="1" ht="12.75">
      <c r="D142" s="446"/>
      <c r="E142" s="446"/>
      <c r="F142" s="446"/>
      <c r="G142" s="446"/>
      <c r="H142" s="446"/>
    </row>
    <row r="143" spans="4:8" s="17" customFormat="1" ht="12.75">
      <c r="D143" s="446"/>
      <c r="E143" s="446"/>
      <c r="F143" s="446"/>
      <c r="G143" s="446"/>
      <c r="H143" s="446"/>
    </row>
    <row r="144" spans="4:8" s="17" customFormat="1" ht="12.75">
      <c r="D144" s="446"/>
      <c r="E144" s="446"/>
      <c r="F144" s="446"/>
      <c r="G144" s="446"/>
      <c r="H144" s="446"/>
    </row>
    <row r="145" spans="4:8" s="17" customFormat="1" ht="12.75">
      <c r="D145" s="446"/>
      <c r="E145" s="446"/>
      <c r="F145" s="446"/>
      <c r="G145" s="446"/>
      <c r="H145" s="446"/>
    </row>
    <row r="146" spans="4:8" s="17" customFormat="1" ht="12.75">
      <c r="D146" s="446"/>
      <c r="E146" s="446"/>
      <c r="F146" s="446"/>
      <c r="G146" s="446"/>
      <c r="H146" s="446"/>
    </row>
    <row r="147" spans="4:8" s="17" customFormat="1" ht="12.75">
      <c r="D147" s="446"/>
      <c r="E147" s="446"/>
      <c r="F147" s="446"/>
      <c r="G147" s="446"/>
      <c r="H147" s="446"/>
    </row>
    <row r="148" spans="4:8" s="17" customFormat="1" ht="12.75">
      <c r="D148" s="446"/>
      <c r="E148" s="446"/>
      <c r="F148" s="446"/>
      <c r="G148" s="446"/>
      <c r="H148" s="446"/>
    </row>
    <row r="149" spans="4:8" s="17" customFormat="1" ht="12.75">
      <c r="D149" s="446"/>
      <c r="E149" s="446"/>
      <c r="F149" s="446"/>
      <c r="G149" s="446"/>
      <c r="H149" s="446"/>
    </row>
    <row r="150" spans="4:8" s="17" customFormat="1" ht="12.75">
      <c r="D150" s="446"/>
      <c r="E150" s="446"/>
      <c r="F150" s="446"/>
      <c r="G150" s="446"/>
      <c r="H150" s="446"/>
    </row>
    <row r="151" spans="4:8" s="17" customFormat="1" ht="12.75">
      <c r="D151" s="446"/>
      <c r="E151" s="446"/>
      <c r="F151" s="446"/>
      <c r="G151" s="446"/>
      <c r="H151" s="446"/>
    </row>
    <row r="152" spans="4:8" s="17" customFormat="1" ht="12.75">
      <c r="D152" s="446"/>
      <c r="E152" s="446"/>
      <c r="F152" s="446"/>
      <c r="G152" s="446"/>
      <c r="H152" s="446"/>
    </row>
    <row r="153" spans="4:8" s="17" customFormat="1" ht="12.75">
      <c r="D153" s="446"/>
      <c r="E153" s="446"/>
      <c r="F153" s="446"/>
      <c r="G153" s="446"/>
      <c r="H153" s="446"/>
    </row>
    <row r="154" spans="4:8" s="17" customFormat="1" ht="12.75">
      <c r="D154" s="446"/>
      <c r="E154" s="446"/>
      <c r="F154" s="446"/>
      <c r="G154" s="446"/>
      <c r="H154" s="446"/>
    </row>
    <row r="155" spans="4:8" s="17" customFormat="1" ht="12.75">
      <c r="D155" s="446"/>
      <c r="E155" s="446"/>
      <c r="F155" s="446"/>
      <c r="G155" s="446"/>
      <c r="H155" s="446"/>
    </row>
    <row r="156" spans="4:8" s="17" customFormat="1" ht="12.75">
      <c r="D156" s="446"/>
      <c r="E156" s="446"/>
      <c r="F156" s="446"/>
      <c r="G156" s="446"/>
      <c r="H156" s="446"/>
    </row>
    <row r="157" spans="4:8" s="17" customFormat="1" ht="12.75">
      <c r="D157" s="446"/>
      <c r="E157" s="446"/>
      <c r="F157" s="446"/>
      <c r="G157" s="446"/>
      <c r="H157" s="446"/>
    </row>
    <row r="158" spans="4:8" s="17" customFormat="1" ht="12.75">
      <c r="D158" s="446"/>
      <c r="E158" s="446"/>
      <c r="F158" s="446"/>
      <c r="G158" s="446"/>
      <c r="H158" s="446"/>
    </row>
    <row r="159" spans="4:8" s="17" customFormat="1" ht="12.75">
      <c r="D159" s="446"/>
      <c r="E159" s="446"/>
      <c r="F159" s="446"/>
      <c r="G159" s="446"/>
      <c r="H159" s="446"/>
    </row>
    <row r="160" spans="4:8" s="17" customFormat="1" ht="12.75">
      <c r="D160" s="446"/>
      <c r="E160" s="446"/>
      <c r="F160" s="446"/>
      <c r="G160" s="446"/>
      <c r="H160" s="446"/>
    </row>
    <row r="161" spans="4:8" s="17" customFormat="1" ht="12.75">
      <c r="D161" s="446"/>
      <c r="E161" s="446"/>
      <c r="F161" s="446"/>
      <c r="G161" s="446"/>
      <c r="H161" s="446"/>
    </row>
    <row r="162" spans="4:8" s="17" customFormat="1" ht="12.75">
      <c r="D162" s="446"/>
      <c r="E162" s="446"/>
      <c r="F162" s="446"/>
      <c r="G162" s="446"/>
      <c r="H162" s="446"/>
    </row>
    <row r="163" spans="4:8" s="17" customFormat="1" ht="12.75">
      <c r="D163" s="446"/>
      <c r="E163" s="446"/>
      <c r="F163" s="446"/>
      <c r="G163" s="446"/>
      <c r="H163" s="446"/>
    </row>
    <row r="164" spans="4:8" s="17" customFormat="1" ht="12.75">
      <c r="D164" s="446"/>
      <c r="E164" s="446"/>
      <c r="F164" s="446"/>
      <c r="G164" s="446"/>
      <c r="H164" s="446"/>
    </row>
    <row r="165" spans="4:8" s="17" customFormat="1" ht="12.75">
      <c r="D165" s="446"/>
      <c r="E165" s="446"/>
      <c r="F165" s="446"/>
      <c r="G165" s="446"/>
      <c r="H165" s="446"/>
    </row>
    <row r="166" spans="4:8" s="17" customFormat="1" ht="12.75">
      <c r="D166" s="446"/>
      <c r="E166" s="446"/>
      <c r="F166" s="446"/>
      <c r="G166" s="446"/>
      <c r="H166" s="446"/>
    </row>
    <row r="167" spans="4:8" s="17" customFormat="1" ht="12.75">
      <c r="D167" s="446"/>
      <c r="E167" s="446"/>
      <c r="F167" s="446"/>
      <c r="G167" s="446"/>
      <c r="H167" s="446"/>
    </row>
    <row r="168" spans="4:8" s="17" customFormat="1" ht="12.75">
      <c r="D168" s="446"/>
      <c r="E168" s="446"/>
      <c r="F168" s="446"/>
      <c r="G168" s="446"/>
      <c r="H168" s="446"/>
    </row>
    <row r="169" spans="4:8" s="17" customFormat="1" ht="12.75">
      <c r="D169" s="446"/>
      <c r="E169" s="446"/>
      <c r="F169" s="446"/>
      <c r="G169" s="446"/>
      <c r="H169" s="446"/>
    </row>
    <row r="170" spans="4:8" s="17" customFormat="1" ht="12.75">
      <c r="D170" s="446"/>
      <c r="E170" s="446"/>
      <c r="F170" s="446"/>
      <c r="G170" s="446"/>
      <c r="H170" s="446"/>
    </row>
    <row r="171" spans="4:8" s="17" customFormat="1" ht="12.75">
      <c r="D171" s="446"/>
      <c r="E171" s="446"/>
      <c r="F171" s="446"/>
      <c r="G171" s="446"/>
      <c r="H171" s="446"/>
    </row>
    <row r="172" spans="4:8" s="17" customFormat="1" ht="12.75">
      <c r="D172" s="446"/>
      <c r="E172" s="446"/>
      <c r="F172" s="446"/>
      <c r="G172" s="446"/>
      <c r="H172" s="446"/>
    </row>
    <row r="173" spans="4:8" s="17" customFormat="1" ht="12.75">
      <c r="D173" s="446"/>
      <c r="E173" s="446"/>
      <c r="F173" s="446"/>
      <c r="G173" s="446"/>
      <c r="H173" s="446"/>
    </row>
    <row r="174" spans="4:8" s="17" customFormat="1" ht="12.75">
      <c r="D174" s="446"/>
      <c r="E174" s="446"/>
      <c r="F174" s="446"/>
      <c r="G174" s="446"/>
      <c r="H174" s="446"/>
    </row>
    <row r="175" spans="4:8" s="17" customFormat="1" ht="12.75">
      <c r="D175" s="446"/>
      <c r="E175" s="446"/>
      <c r="F175" s="446"/>
      <c r="G175" s="446"/>
      <c r="H175" s="446"/>
    </row>
    <row r="176" spans="4:8" s="17" customFormat="1" ht="12.75">
      <c r="D176" s="446"/>
      <c r="E176" s="446"/>
      <c r="F176" s="446"/>
      <c r="G176" s="446"/>
      <c r="H176" s="446"/>
    </row>
    <row r="177" spans="4:8" s="17" customFormat="1" ht="12.75">
      <c r="D177" s="446"/>
      <c r="E177" s="446"/>
      <c r="F177" s="446"/>
      <c r="G177" s="446"/>
      <c r="H177" s="446"/>
    </row>
    <row r="178" spans="4:8" s="17" customFormat="1" ht="12.75">
      <c r="D178" s="446"/>
      <c r="E178" s="446"/>
      <c r="F178" s="446"/>
      <c r="G178" s="446"/>
      <c r="H178" s="446"/>
    </row>
    <row r="179" spans="4:8" s="17" customFormat="1" ht="12.75">
      <c r="D179" s="446"/>
      <c r="E179" s="446"/>
      <c r="F179" s="446"/>
      <c r="G179" s="446"/>
      <c r="H179" s="446"/>
    </row>
    <row r="180" spans="4:8" s="17" customFormat="1" ht="12.75">
      <c r="D180" s="446"/>
      <c r="E180" s="446"/>
      <c r="F180" s="446"/>
      <c r="G180" s="446"/>
      <c r="H180" s="446"/>
    </row>
    <row r="181" spans="4:8" s="17" customFormat="1" ht="12.75">
      <c r="D181" s="446"/>
      <c r="E181" s="446"/>
      <c r="F181" s="446"/>
      <c r="G181" s="446"/>
      <c r="H181" s="446"/>
    </row>
    <row r="182" spans="4:8" s="17" customFormat="1" ht="12.75">
      <c r="D182" s="446"/>
      <c r="E182" s="446"/>
      <c r="F182" s="446"/>
      <c r="G182" s="446"/>
      <c r="H182" s="446"/>
    </row>
    <row r="183" spans="4:8" s="17" customFormat="1" ht="12.75">
      <c r="D183" s="446"/>
      <c r="E183" s="446"/>
      <c r="F183" s="446"/>
      <c r="G183" s="446"/>
      <c r="H183" s="446"/>
    </row>
    <row r="184" spans="4:8" s="17" customFormat="1" ht="12.75">
      <c r="D184" s="446"/>
      <c r="E184" s="446"/>
      <c r="F184" s="446"/>
      <c r="G184" s="446"/>
      <c r="H184" s="446"/>
    </row>
    <row r="185" spans="4:8" s="17" customFormat="1" ht="12.75">
      <c r="D185" s="446"/>
      <c r="E185" s="446"/>
      <c r="F185" s="446"/>
      <c r="G185" s="446"/>
      <c r="H185" s="446"/>
    </row>
    <row r="186" spans="4:8" s="17" customFormat="1" ht="12.75">
      <c r="D186" s="446"/>
      <c r="E186" s="446"/>
      <c r="F186" s="446"/>
      <c r="G186" s="446"/>
      <c r="H186" s="446"/>
    </row>
    <row r="187" spans="4:8" s="17" customFormat="1" ht="12.75">
      <c r="D187" s="446"/>
      <c r="E187" s="446"/>
      <c r="F187" s="446"/>
      <c r="G187" s="446"/>
      <c r="H187" s="446"/>
    </row>
    <row r="188" spans="4:8" s="17" customFormat="1" ht="12.75">
      <c r="D188" s="446"/>
      <c r="E188" s="446"/>
      <c r="F188" s="446"/>
      <c r="G188" s="446"/>
      <c r="H188" s="446"/>
    </row>
    <row r="189" spans="4:8" s="17" customFormat="1" ht="12.75">
      <c r="D189" s="446"/>
      <c r="E189" s="446"/>
      <c r="F189" s="446"/>
      <c r="G189" s="446"/>
      <c r="H189" s="446"/>
    </row>
    <row r="190" spans="4:8" s="17" customFormat="1" ht="12.75">
      <c r="D190" s="446"/>
      <c r="E190" s="446"/>
      <c r="F190" s="446"/>
      <c r="G190" s="446"/>
      <c r="H190" s="446"/>
    </row>
    <row r="191" spans="4:8" s="17" customFormat="1" ht="12.75">
      <c r="D191" s="446"/>
      <c r="E191" s="446"/>
      <c r="F191" s="446"/>
      <c r="G191" s="446"/>
      <c r="H191" s="446"/>
    </row>
    <row r="192" spans="4:8" s="17" customFormat="1" ht="12.75">
      <c r="D192" s="446"/>
      <c r="E192" s="446"/>
      <c r="F192" s="446"/>
      <c r="G192" s="446"/>
      <c r="H192" s="446"/>
    </row>
    <row r="193" spans="4:8" s="17" customFormat="1" ht="12.75">
      <c r="D193" s="446"/>
      <c r="E193" s="446"/>
      <c r="F193" s="446"/>
      <c r="G193" s="446"/>
      <c r="H193" s="446"/>
    </row>
    <row r="194" spans="4:8" s="17" customFormat="1" ht="12.75">
      <c r="D194" s="446"/>
      <c r="E194" s="446"/>
      <c r="F194" s="446"/>
      <c r="G194" s="446"/>
      <c r="H194" s="446"/>
    </row>
    <row r="195" spans="4:8" s="17" customFormat="1" ht="12.75">
      <c r="D195" s="446"/>
      <c r="E195" s="446"/>
      <c r="F195" s="446"/>
      <c r="G195" s="446"/>
      <c r="H195" s="446"/>
    </row>
    <row r="196" spans="4:8" s="17" customFormat="1" ht="12.75">
      <c r="D196" s="446"/>
      <c r="E196" s="446"/>
      <c r="F196" s="446"/>
      <c r="G196" s="446"/>
      <c r="H196" s="446"/>
    </row>
    <row r="197" spans="4:8" s="17" customFormat="1" ht="12.75">
      <c r="D197" s="446"/>
      <c r="E197" s="446"/>
      <c r="F197" s="446"/>
      <c r="G197" s="446"/>
      <c r="H197" s="446"/>
    </row>
    <row r="198" spans="4:8" s="17" customFormat="1" ht="12.75">
      <c r="D198" s="446"/>
      <c r="E198" s="446"/>
      <c r="F198" s="446"/>
      <c r="G198" s="446"/>
      <c r="H198" s="446"/>
    </row>
    <row r="199" spans="4:8" s="17" customFormat="1" ht="12.75">
      <c r="D199" s="446"/>
      <c r="E199" s="446"/>
      <c r="F199" s="446"/>
      <c r="G199" s="446"/>
      <c r="H199" s="446"/>
    </row>
    <row r="200" spans="4:8" s="17" customFormat="1" ht="12.75">
      <c r="D200" s="446"/>
      <c r="E200" s="446"/>
      <c r="F200" s="446"/>
      <c r="G200" s="446"/>
      <c r="H200" s="446"/>
    </row>
    <row r="201" spans="4:8" s="17" customFormat="1" ht="12.75">
      <c r="D201" s="446"/>
      <c r="E201" s="446"/>
      <c r="F201" s="446"/>
      <c r="G201" s="446"/>
      <c r="H201" s="446"/>
    </row>
    <row r="202" spans="4:8" s="17" customFormat="1" ht="12.75">
      <c r="D202" s="446"/>
      <c r="E202" s="446"/>
      <c r="F202" s="446"/>
      <c r="G202" s="446"/>
      <c r="H202" s="446"/>
    </row>
    <row r="203" spans="4:8" s="17" customFormat="1" ht="12.75">
      <c r="D203" s="446"/>
      <c r="E203" s="446"/>
      <c r="F203" s="446"/>
      <c r="G203" s="446"/>
      <c r="H203" s="446"/>
    </row>
    <row r="204" spans="4:8" s="17" customFormat="1" ht="12.75">
      <c r="D204" s="446"/>
      <c r="E204" s="446"/>
      <c r="F204" s="446"/>
      <c r="G204" s="446"/>
      <c r="H204" s="446"/>
    </row>
    <row r="205" spans="4:8" s="17" customFormat="1" ht="12.75">
      <c r="D205" s="446"/>
      <c r="E205" s="446"/>
      <c r="F205" s="446"/>
      <c r="G205" s="446"/>
      <c r="H205" s="446"/>
    </row>
    <row r="206" spans="4:8" s="17" customFormat="1" ht="12.75">
      <c r="D206" s="446"/>
      <c r="E206" s="446"/>
      <c r="F206" s="446"/>
      <c r="G206" s="446"/>
      <c r="H206" s="446"/>
    </row>
    <row r="207" spans="4:8" s="17" customFormat="1" ht="12.75">
      <c r="D207" s="446"/>
      <c r="E207" s="446"/>
      <c r="F207" s="446"/>
      <c r="G207" s="446"/>
      <c r="H207" s="446"/>
    </row>
    <row r="208" spans="4:8" s="17" customFormat="1" ht="12.75">
      <c r="D208" s="446"/>
      <c r="E208" s="446"/>
      <c r="F208" s="446"/>
      <c r="G208" s="446"/>
      <c r="H208" s="446"/>
    </row>
    <row r="209" spans="4:8" s="17" customFormat="1" ht="12.75">
      <c r="D209" s="446"/>
      <c r="E209" s="446"/>
      <c r="F209" s="446"/>
      <c r="G209" s="446"/>
      <c r="H209" s="446"/>
    </row>
    <row r="210" spans="4:8" s="17" customFormat="1" ht="12.75">
      <c r="D210" s="446"/>
      <c r="E210" s="446"/>
      <c r="F210" s="446"/>
      <c r="G210" s="446"/>
      <c r="H210" s="446"/>
    </row>
    <row r="211" spans="4:8" s="17" customFormat="1" ht="12.75">
      <c r="D211" s="446"/>
      <c r="E211" s="446"/>
      <c r="F211" s="446"/>
      <c r="G211" s="446"/>
      <c r="H211" s="446"/>
    </row>
    <row r="212" spans="4:8" s="17" customFormat="1" ht="12.75">
      <c r="D212" s="446"/>
      <c r="E212" s="446"/>
      <c r="F212" s="446"/>
      <c r="G212" s="446"/>
      <c r="H212" s="446"/>
    </row>
    <row r="213" spans="4:8" s="17" customFormat="1" ht="12.75">
      <c r="D213" s="446"/>
      <c r="E213" s="446"/>
      <c r="F213" s="446"/>
      <c r="G213" s="446"/>
      <c r="H213" s="446"/>
    </row>
    <row r="214" spans="4:8" s="17" customFormat="1" ht="12.75">
      <c r="D214" s="446"/>
      <c r="E214" s="446"/>
      <c r="F214" s="446"/>
      <c r="G214" s="446"/>
      <c r="H214" s="446"/>
    </row>
    <row r="215" spans="4:8" s="17" customFormat="1" ht="12.75">
      <c r="D215" s="446"/>
      <c r="E215" s="446"/>
      <c r="F215" s="446"/>
      <c r="G215" s="446"/>
      <c r="H215" s="446"/>
    </row>
    <row r="216" spans="4:8" s="17" customFormat="1" ht="12.75">
      <c r="D216" s="446"/>
      <c r="E216" s="446"/>
      <c r="F216" s="446"/>
      <c r="G216" s="446"/>
      <c r="H216" s="446"/>
    </row>
    <row r="217" spans="4:8" s="17" customFormat="1" ht="12.75">
      <c r="D217" s="446"/>
      <c r="E217" s="446"/>
      <c r="F217" s="446"/>
      <c r="G217" s="446"/>
      <c r="H217" s="446"/>
    </row>
    <row r="218" spans="4:8" s="17" customFormat="1" ht="12.75">
      <c r="D218" s="446"/>
      <c r="E218" s="446"/>
      <c r="F218" s="446"/>
      <c r="G218" s="446"/>
      <c r="H218" s="446"/>
    </row>
    <row r="219" spans="4:8" s="17" customFormat="1" ht="12.75">
      <c r="D219" s="446"/>
      <c r="E219" s="446"/>
      <c r="F219" s="446"/>
      <c r="G219" s="446"/>
      <c r="H219" s="446"/>
    </row>
    <row r="220" spans="4:8" s="17" customFormat="1" ht="12.75">
      <c r="D220" s="446"/>
      <c r="E220" s="446"/>
      <c r="F220" s="446"/>
      <c r="G220" s="446"/>
      <c r="H220" s="446"/>
    </row>
    <row r="221" spans="4:8" s="17" customFormat="1" ht="12.75">
      <c r="D221" s="446"/>
      <c r="E221" s="446"/>
      <c r="F221" s="446"/>
      <c r="G221" s="446"/>
      <c r="H221" s="446"/>
    </row>
    <row r="222" spans="4:8" s="17" customFormat="1" ht="12.75">
      <c r="D222" s="446"/>
      <c r="E222" s="446"/>
      <c r="F222" s="446"/>
      <c r="G222" s="446"/>
      <c r="H222" s="446"/>
    </row>
    <row r="223" spans="4:8" s="17" customFormat="1" ht="12.75">
      <c r="D223" s="446"/>
      <c r="E223" s="446"/>
      <c r="F223" s="446"/>
      <c r="G223" s="446"/>
      <c r="H223" s="446"/>
    </row>
    <row r="224" spans="4:8" s="17" customFormat="1" ht="12.75">
      <c r="D224" s="446"/>
      <c r="E224" s="446"/>
      <c r="F224" s="446"/>
      <c r="G224" s="446"/>
      <c r="H224" s="446"/>
    </row>
    <row r="225" spans="4:8" s="17" customFormat="1" ht="12.75">
      <c r="D225" s="446"/>
      <c r="E225" s="446"/>
      <c r="F225" s="446"/>
      <c r="G225" s="446"/>
      <c r="H225" s="446"/>
    </row>
    <row r="226" spans="4:8" s="17" customFormat="1" ht="12.75">
      <c r="D226" s="446"/>
      <c r="E226" s="446"/>
      <c r="F226" s="446"/>
      <c r="G226" s="446"/>
      <c r="H226" s="446"/>
    </row>
    <row r="227" spans="4:8" s="17" customFormat="1" ht="12.75">
      <c r="D227" s="446"/>
      <c r="E227" s="446"/>
      <c r="F227" s="446"/>
      <c r="G227" s="446"/>
      <c r="H227" s="446"/>
    </row>
    <row r="228" spans="4:8" s="17" customFormat="1" ht="12.75">
      <c r="D228" s="446"/>
      <c r="E228" s="446"/>
      <c r="F228" s="446"/>
      <c r="G228" s="446"/>
      <c r="H228" s="446"/>
    </row>
    <row r="229" spans="4:8" s="17" customFormat="1" ht="12.75">
      <c r="D229" s="446"/>
      <c r="E229" s="446"/>
      <c r="F229" s="446"/>
      <c r="G229" s="446"/>
      <c r="H229" s="446"/>
    </row>
    <row r="230" spans="4:8" s="17" customFormat="1" ht="12.75">
      <c r="D230" s="446"/>
      <c r="E230" s="446"/>
      <c r="F230" s="446"/>
      <c r="G230" s="446"/>
      <c r="H230" s="446"/>
    </row>
    <row r="231" spans="4:8" s="17" customFormat="1" ht="12.75">
      <c r="D231" s="446"/>
      <c r="E231" s="446"/>
      <c r="F231" s="446"/>
      <c r="G231" s="446"/>
      <c r="H231" s="446"/>
    </row>
    <row r="232" spans="4:8" s="17" customFormat="1" ht="12.75">
      <c r="D232" s="446"/>
      <c r="E232" s="446"/>
      <c r="F232" s="446"/>
      <c r="G232" s="446"/>
      <c r="H232" s="446"/>
    </row>
    <row r="233" spans="4:8" s="17" customFormat="1" ht="12.75">
      <c r="D233" s="446"/>
      <c r="E233" s="446"/>
      <c r="F233" s="446"/>
      <c r="G233" s="446"/>
      <c r="H233" s="446"/>
    </row>
    <row r="234" spans="4:8" s="17" customFormat="1" ht="12.75">
      <c r="D234" s="446"/>
      <c r="E234" s="446"/>
      <c r="F234" s="446"/>
      <c r="G234" s="446"/>
      <c r="H234" s="446"/>
    </row>
    <row r="235" spans="4:8" s="17" customFormat="1" ht="12.75">
      <c r="D235" s="446"/>
      <c r="E235" s="446"/>
      <c r="F235" s="446"/>
      <c r="G235" s="446"/>
      <c r="H235" s="446"/>
    </row>
    <row r="236" spans="4:8" s="17" customFormat="1" ht="12.75">
      <c r="D236" s="446"/>
      <c r="E236" s="446"/>
      <c r="F236" s="446"/>
      <c r="G236" s="446"/>
      <c r="H236" s="446"/>
    </row>
    <row r="237" spans="4:8" s="17" customFormat="1" ht="12.75">
      <c r="D237" s="446"/>
      <c r="E237" s="446"/>
      <c r="F237" s="446"/>
      <c r="G237" s="446"/>
      <c r="H237" s="446"/>
    </row>
    <row r="238" spans="4:8" s="17" customFormat="1" ht="12.75">
      <c r="D238" s="446"/>
      <c r="E238" s="446"/>
      <c r="F238" s="446"/>
      <c r="G238" s="446"/>
      <c r="H238" s="446"/>
    </row>
    <row r="239" spans="4:8" s="17" customFormat="1" ht="12.75">
      <c r="D239" s="446"/>
      <c r="E239" s="446"/>
      <c r="F239" s="446"/>
      <c r="G239" s="446"/>
      <c r="H239" s="446"/>
    </row>
    <row r="240" spans="4:8" s="17" customFormat="1" ht="12.75">
      <c r="D240" s="446"/>
      <c r="E240" s="446"/>
      <c r="F240" s="446"/>
      <c r="G240" s="446"/>
      <c r="H240" s="446"/>
    </row>
    <row r="241" spans="4:8" s="17" customFormat="1" ht="12.75">
      <c r="D241" s="446"/>
      <c r="E241" s="446"/>
      <c r="F241" s="446"/>
      <c r="G241" s="446"/>
      <c r="H241" s="446"/>
    </row>
    <row r="242" spans="4:8" s="17" customFormat="1" ht="12.75">
      <c r="D242" s="446"/>
      <c r="E242" s="446"/>
      <c r="F242" s="446"/>
      <c r="G242" s="446"/>
      <c r="H242" s="446"/>
    </row>
  </sheetData>
  <sheetProtection/>
  <mergeCells count="9">
    <mergeCell ref="H2:H3"/>
    <mergeCell ref="E2:E3"/>
    <mergeCell ref="F2:F3"/>
    <mergeCell ref="D2:D3"/>
    <mergeCell ref="A1:H1"/>
    <mergeCell ref="A2:A3"/>
    <mergeCell ref="C2:C3"/>
    <mergeCell ref="B2:B3"/>
    <mergeCell ref="G2:G3"/>
  </mergeCells>
  <printOptions horizontalCentered="1"/>
  <pageMargins left="0.15748031496062992" right="0.15748031496062992" top="0.3937007874015748" bottom="0.4724409448818898" header="0.2362204724409449" footer="0.2362204724409449"/>
  <pageSetup horizontalDpi="600" verticalDpi="600" orientation="landscape" paperSize="9" scale="98" r:id="rId1"/>
  <headerFooter alignWithMargins="0">
    <oddFooter>&amp;R&amp;P</oddFooter>
  </headerFooter>
  <rowBreaks count="4" manualBreakCount="4">
    <brk id="34" max="7" man="1"/>
    <brk id="53" max="7" man="1"/>
    <brk id="78" max="7" man="1"/>
    <brk id="9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70" workbookViewId="0" topLeftCell="A1">
      <selection activeCell="G66" sqref="G66"/>
    </sheetView>
  </sheetViews>
  <sheetFormatPr defaultColWidth="9.140625" defaultRowHeight="12.75" customHeight="1"/>
  <cols>
    <col min="1" max="1" width="8.8515625" style="0" customWidth="1"/>
    <col min="2" max="2" width="60.8515625" style="0" customWidth="1"/>
    <col min="3" max="5" width="16.421875" style="0" customWidth="1"/>
    <col min="6" max="6" width="11.140625" style="0" customWidth="1"/>
    <col min="7" max="7" width="10.57421875" style="0" customWidth="1"/>
    <col min="8" max="8" width="6.8515625" style="0" customWidth="1"/>
    <col min="9" max="9" width="11.7109375" style="0" bestFit="1" customWidth="1"/>
    <col min="10" max="10" width="22.140625" style="0" customWidth="1"/>
    <col min="12" max="12" width="11.28125" style="0" customWidth="1"/>
    <col min="13" max="13" width="10.140625" style="0" customWidth="1"/>
  </cols>
  <sheetData>
    <row r="1" spans="1:8" ht="33.75" customHeight="1" thickBot="1">
      <c r="A1" s="485" t="s">
        <v>567</v>
      </c>
      <c r="B1" s="486"/>
      <c r="C1" s="486"/>
      <c r="D1" s="486"/>
      <c r="E1" s="486"/>
      <c r="F1" s="486"/>
      <c r="G1" s="487"/>
      <c r="H1" s="20"/>
    </row>
    <row r="2" spans="1:7" ht="36.75" customHeight="1" thickTop="1">
      <c r="A2" s="248" t="s">
        <v>54</v>
      </c>
      <c r="B2" s="261" t="s">
        <v>191</v>
      </c>
      <c r="C2" s="262" t="s">
        <v>536</v>
      </c>
      <c r="D2" s="262" t="s">
        <v>559</v>
      </c>
      <c r="E2" s="262" t="s">
        <v>568</v>
      </c>
      <c r="F2" s="262" t="s">
        <v>104</v>
      </c>
      <c r="G2" s="263" t="s">
        <v>185</v>
      </c>
    </row>
    <row r="3" spans="1:7" ht="15.75" customHeight="1">
      <c r="A3" s="102">
        <v>1</v>
      </c>
      <c r="B3" s="103">
        <v>2</v>
      </c>
      <c r="C3" s="104">
        <v>3</v>
      </c>
      <c r="D3" s="104" t="s">
        <v>561</v>
      </c>
      <c r="E3" s="104">
        <v>5</v>
      </c>
      <c r="F3" s="104" t="s">
        <v>562</v>
      </c>
      <c r="G3" s="101">
        <v>7</v>
      </c>
    </row>
    <row r="4" spans="1:9" ht="21" customHeight="1">
      <c r="A4" s="250"/>
      <c r="B4" s="264" t="s">
        <v>304</v>
      </c>
      <c r="C4" s="44">
        <f>C5+C38+C43</f>
        <v>21925700</v>
      </c>
      <c r="D4" s="44">
        <f>D5+D38+D43</f>
        <v>1609571.2900000005</v>
      </c>
      <c r="E4" s="44">
        <f>E5+E38+E43</f>
        <v>23535271.29</v>
      </c>
      <c r="F4" s="44">
        <f aca="true" t="shared" si="0" ref="F4:F35">E4/C4*100</f>
        <v>107.34102578252917</v>
      </c>
      <c r="G4" s="265">
        <f>E4/$E$56*100</f>
        <v>79.6426425299341</v>
      </c>
      <c r="H4" s="1"/>
      <c r="I4" s="1"/>
    </row>
    <row r="5" spans="1:9" ht="15.75" customHeight="1">
      <c r="A5" s="266">
        <v>410000</v>
      </c>
      <c r="B5" s="251" t="s">
        <v>310</v>
      </c>
      <c r="C5" s="50">
        <f>C6+C11+C21+C25+C27+C29+C32+C36</f>
        <v>21504200</v>
      </c>
      <c r="D5" s="50">
        <f>D6+D11+D21+D25+D27+D29+D32+D36</f>
        <v>1762430.8900000006</v>
      </c>
      <c r="E5" s="50">
        <f>E6+E11+E21+E25+E27+E29+E32+E36</f>
        <v>23266630.89</v>
      </c>
      <c r="F5" s="50">
        <f t="shared" si="0"/>
        <v>108.19575194613145</v>
      </c>
      <c r="G5" s="175">
        <f aca="true" t="shared" si="1" ref="G5:G56">E5/$E$56*100</f>
        <v>78.73357158349512</v>
      </c>
      <c r="H5" s="1"/>
      <c r="I5" s="1"/>
    </row>
    <row r="6" spans="1:13" ht="15.75" customHeight="1">
      <c r="A6" s="267">
        <v>411000</v>
      </c>
      <c r="B6" s="268" t="s">
        <v>299</v>
      </c>
      <c r="C6" s="55">
        <f>SUM(C7:C10)</f>
        <v>10949800</v>
      </c>
      <c r="D6" s="55">
        <f>SUM(D7:D10)</f>
        <v>-85200</v>
      </c>
      <c r="E6" s="55">
        <f>SUM(E7:E10)</f>
        <v>10864600</v>
      </c>
      <c r="F6" s="56">
        <f t="shared" si="0"/>
        <v>99.22190359641272</v>
      </c>
      <c r="G6" s="239">
        <f t="shared" si="1"/>
        <v>36.7654760962274</v>
      </c>
      <c r="H6" s="1"/>
      <c r="I6" s="1"/>
      <c r="J6" s="2"/>
      <c r="K6" s="2"/>
      <c r="L6" s="2"/>
      <c r="M6" s="2"/>
    </row>
    <row r="7" spans="1:13" ht="13.5" customHeight="1">
      <c r="A7" s="254">
        <v>411100</v>
      </c>
      <c r="B7" s="269" t="s">
        <v>295</v>
      </c>
      <c r="C7" s="112">
        <f>SUMIF(Org!$C$10:Org!$D$560,411100,Org!E$10:Org!E$561)</f>
        <v>9045000</v>
      </c>
      <c r="D7" s="112">
        <f>E7-C7</f>
        <v>10800</v>
      </c>
      <c r="E7" s="112">
        <f>SUMIF(Org!$C$10:Org!$D$560,411100,Org!G$10:Org!G$561)</f>
        <v>9055800</v>
      </c>
      <c r="F7" s="112">
        <f t="shared" si="0"/>
        <v>100.11940298507463</v>
      </c>
      <c r="G7" s="318">
        <f t="shared" si="1"/>
        <v>30.64455188706589</v>
      </c>
      <c r="H7" s="1"/>
      <c r="I7" s="1"/>
      <c r="J7" s="2"/>
      <c r="K7" s="2"/>
      <c r="L7" s="2"/>
      <c r="M7" s="2"/>
    </row>
    <row r="8" spans="1:13" ht="25.5">
      <c r="A8" s="254">
        <v>411200</v>
      </c>
      <c r="B8" s="270" t="s">
        <v>300</v>
      </c>
      <c r="C8" s="112">
        <f>SUMIF(Org!$C$8:Org!$D$560,411200,Org!E$8:Org!E$562)</f>
        <v>1554000</v>
      </c>
      <c r="D8" s="112">
        <f>E8-C8</f>
        <v>-109500</v>
      </c>
      <c r="E8" s="112">
        <f>SUMIF(Org!$C$8:Org!$D$560,411200,Org!G$8:Org!G$562)</f>
        <v>1444500</v>
      </c>
      <c r="F8" s="112">
        <f t="shared" si="0"/>
        <v>92.95366795366795</v>
      </c>
      <c r="G8" s="318">
        <f t="shared" si="1"/>
        <v>4.888144084549866</v>
      </c>
      <c r="H8" s="1"/>
      <c r="I8" s="1"/>
      <c r="J8" s="2"/>
      <c r="K8" s="2"/>
      <c r="L8" s="2"/>
      <c r="M8" s="2"/>
    </row>
    <row r="9" spans="1:13" ht="25.5">
      <c r="A9" s="254">
        <v>411300</v>
      </c>
      <c r="B9" s="270" t="s">
        <v>375</v>
      </c>
      <c r="C9" s="112">
        <f>SUMIF(Org!$C$10:Org!$D$560,411300,Org!E$10:Org!E$562)</f>
        <v>193000</v>
      </c>
      <c r="D9" s="112">
        <f>E9-C9</f>
        <v>20500</v>
      </c>
      <c r="E9" s="112">
        <f>SUMIF(Org!$C$10:Org!$D$560,411300,Org!G$10:Org!G$562)</f>
        <v>213500</v>
      </c>
      <c r="F9" s="112">
        <f t="shared" si="0"/>
        <v>110.62176165803108</v>
      </c>
      <c r="G9" s="318">
        <f t="shared" si="1"/>
        <v>0.722477509208305</v>
      </c>
      <c r="H9" s="1"/>
      <c r="I9" s="1"/>
      <c r="J9" s="2"/>
      <c r="K9" s="2"/>
      <c r="L9" s="2"/>
      <c r="M9" s="2"/>
    </row>
    <row r="10" spans="1:13" ht="14.25" customHeight="1">
      <c r="A10" s="254">
        <v>411400</v>
      </c>
      <c r="B10" s="269" t="s">
        <v>296</v>
      </c>
      <c r="C10" s="112">
        <f>SUMIF(Org!$C$10:Org!$D$560,411400,Org!E$10:Org!E$562)</f>
        <v>157800</v>
      </c>
      <c r="D10" s="112">
        <f>E10-C10</f>
        <v>-7000</v>
      </c>
      <c r="E10" s="112">
        <f>SUMIF(Org!$C$10:Org!$D$560,411400,Org!G$10:Org!G$562)</f>
        <v>150800</v>
      </c>
      <c r="F10" s="112">
        <f t="shared" si="0"/>
        <v>95.56400506970849</v>
      </c>
      <c r="G10" s="318">
        <f t="shared" si="1"/>
        <v>0.5103026154033367</v>
      </c>
      <c r="H10" s="1"/>
      <c r="I10" s="1"/>
      <c r="J10" s="2"/>
      <c r="K10" s="2"/>
      <c r="L10" s="2"/>
      <c r="M10" s="2"/>
    </row>
    <row r="11" spans="1:13" ht="15.75" customHeight="1">
      <c r="A11" s="267">
        <v>412000</v>
      </c>
      <c r="B11" s="271" t="s">
        <v>114</v>
      </c>
      <c r="C11" s="55">
        <f>SUM(C12:C20)</f>
        <v>3643200</v>
      </c>
      <c r="D11" s="55">
        <f>SUM(D12:D20)</f>
        <v>734998.3700000002</v>
      </c>
      <c r="E11" s="55">
        <f>SUM(E12:E20)</f>
        <v>4378198.370000001</v>
      </c>
      <c r="F11" s="56">
        <f t="shared" si="0"/>
        <v>120.17452706411949</v>
      </c>
      <c r="G11" s="239">
        <f t="shared" si="1"/>
        <v>14.815690178817151</v>
      </c>
      <c r="H11" s="1"/>
      <c r="I11" s="1"/>
      <c r="J11" s="2"/>
      <c r="K11" s="2"/>
      <c r="L11" s="2"/>
      <c r="M11" s="2"/>
    </row>
    <row r="12" spans="1:13" ht="15" customHeight="1">
      <c r="A12" s="257">
        <v>412100</v>
      </c>
      <c r="B12" s="82" t="s">
        <v>115</v>
      </c>
      <c r="C12" s="88">
        <f>SUMIF(Org!$C$10:Org!$D$560,412100,Org!E$10:Org!E$561)</f>
        <v>49010</v>
      </c>
      <c r="D12" s="88">
        <f>E12-C12</f>
        <v>19930</v>
      </c>
      <c r="E12" s="88">
        <f>SUMIF(Org!$C$10:Org!$D$560,412100,Org!G$10:Org!G$561)</f>
        <v>68940</v>
      </c>
      <c r="F12" s="112">
        <f t="shared" si="0"/>
        <v>140.66517037339318</v>
      </c>
      <c r="G12" s="318">
        <f t="shared" si="1"/>
        <v>0.23329086409752012</v>
      </c>
      <c r="I12" s="1"/>
      <c r="J12" s="364"/>
      <c r="K12" s="2"/>
      <c r="L12" s="2"/>
      <c r="M12" s="2"/>
    </row>
    <row r="13" spans="1:13" ht="25.5">
      <c r="A13" s="257">
        <v>412200</v>
      </c>
      <c r="B13" s="82" t="s">
        <v>116</v>
      </c>
      <c r="C13" s="88">
        <f>SUMIF(Org!$C$10:Org!$D$560,412200,Org!E$10:Org!E$561)</f>
        <v>1079790</v>
      </c>
      <c r="D13" s="88">
        <f aca="true" t="shared" si="2" ref="D13:D20">E13-C13</f>
        <v>25143.840000000084</v>
      </c>
      <c r="E13" s="88">
        <f>SUMIF(Org!$C$10:Org!$D$560,412200,Org!G$10:Org!G$561)</f>
        <v>1104933.84</v>
      </c>
      <c r="F13" s="112">
        <f t="shared" si="0"/>
        <v>102.32858611396661</v>
      </c>
      <c r="G13" s="318">
        <f t="shared" si="1"/>
        <v>3.739062522544111</v>
      </c>
      <c r="I13" s="1"/>
      <c r="J13" s="364"/>
      <c r="K13" s="2"/>
      <c r="L13" s="2"/>
      <c r="M13" s="2"/>
    </row>
    <row r="14" spans="1:13" ht="12.75">
      <c r="A14" s="257">
        <v>412300</v>
      </c>
      <c r="B14" s="122" t="s">
        <v>117</v>
      </c>
      <c r="C14" s="88">
        <f>SUMIF(Org!$C$10:Org!$D$560,412300,Org!E$10:Org!E$561)</f>
        <v>90900</v>
      </c>
      <c r="D14" s="88">
        <f t="shared" si="2"/>
        <v>3428</v>
      </c>
      <c r="E14" s="88">
        <f>SUMIF(Org!$C$10:Org!$D$560,412300,Org!G$10:Org!G$561)</f>
        <v>94328</v>
      </c>
      <c r="F14" s="112">
        <f t="shared" si="0"/>
        <v>103.77117711771177</v>
      </c>
      <c r="G14" s="318">
        <f t="shared" si="1"/>
        <v>0.31920308425574234</v>
      </c>
      <c r="I14" s="1"/>
      <c r="J14" s="364"/>
      <c r="K14" s="2"/>
      <c r="L14" s="2"/>
      <c r="M14" s="2"/>
    </row>
    <row r="15" spans="1:13" ht="14.25" customHeight="1">
      <c r="A15" s="257">
        <v>412400</v>
      </c>
      <c r="B15" s="122" t="s">
        <v>118</v>
      </c>
      <c r="C15" s="88">
        <f>SUMIF(Org!$C$10:Org!$D$560,412400,Org!E$10:Org!E$561)</f>
        <v>79600</v>
      </c>
      <c r="D15" s="88">
        <f t="shared" si="2"/>
        <v>16534.350000000006</v>
      </c>
      <c r="E15" s="88">
        <f>SUMIF(Org!$C$10:Org!$D$560,412400,Org!G$10:Org!G$561)</f>
        <v>96134.35</v>
      </c>
      <c r="F15" s="112">
        <f t="shared" si="0"/>
        <v>120.77179648241207</v>
      </c>
      <c r="G15" s="318">
        <f t="shared" si="1"/>
        <v>0.32531571773938833</v>
      </c>
      <c r="I15" s="1"/>
      <c r="J15" s="364"/>
      <c r="K15" s="2"/>
      <c r="L15" s="365"/>
      <c r="M15" s="2"/>
    </row>
    <row r="16" spans="1:13" ht="13.5" customHeight="1">
      <c r="A16" s="257">
        <v>412500</v>
      </c>
      <c r="B16" s="122" t="s">
        <v>119</v>
      </c>
      <c r="C16" s="88">
        <f>SUMIF(Org!$C$10:Org!$D$560,412500,Org!E$10:Org!E$561)</f>
        <v>380300</v>
      </c>
      <c r="D16" s="88">
        <f t="shared" si="2"/>
        <v>89396.58000000002</v>
      </c>
      <c r="E16" s="88">
        <f>SUMIF(Org!$C$10:Org!$D$560,412500,Org!G$10:Org!G$561)</f>
        <v>469696.58</v>
      </c>
      <c r="F16" s="112">
        <f t="shared" si="0"/>
        <v>123.50685774388641</v>
      </c>
      <c r="G16" s="318">
        <f t="shared" si="1"/>
        <v>1.5894389470822452</v>
      </c>
      <c r="I16" s="1"/>
      <c r="J16" s="364"/>
      <c r="K16" s="2"/>
      <c r="L16" s="2"/>
      <c r="M16" s="2"/>
    </row>
    <row r="17" spans="1:13" ht="12.75" customHeight="1">
      <c r="A17" s="257">
        <v>412600</v>
      </c>
      <c r="B17" s="122" t="s">
        <v>120</v>
      </c>
      <c r="C17" s="88">
        <f>SUMIF(Org!$C$10:Org!$D$560,412600,Org!E$10:Org!E$561)</f>
        <v>15500</v>
      </c>
      <c r="D17" s="88">
        <f t="shared" si="2"/>
        <v>-500</v>
      </c>
      <c r="E17" s="88">
        <f>SUMIF(Org!$C$10:Org!$D$560,412600,Org!G$10:Org!G$561)</f>
        <v>15000</v>
      </c>
      <c r="F17" s="112">
        <f t="shared" si="0"/>
        <v>96.7741935483871</v>
      </c>
      <c r="G17" s="318">
        <f t="shared" si="1"/>
        <v>0.05075954397248044</v>
      </c>
      <c r="I17" s="1"/>
      <c r="J17" s="364"/>
      <c r="K17" s="2"/>
      <c r="L17" s="2"/>
      <c r="M17" s="2"/>
    </row>
    <row r="18" spans="1:13" ht="12.75" customHeight="1">
      <c r="A18" s="257">
        <v>412700</v>
      </c>
      <c r="B18" s="82" t="s">
        <v>121</v>
      </c>
      <c r="C18" s="88">
        <f>SUMIF(Org!$C$10:Org!$D$560,412700,Org!E$10:Org!E$561)</f>
        <v>463200</v>
      </c>
      <c r="D18" s="88">
        <f t="shared" si="2"/>
        <v>42310</v>
      </c>
      <c r="E18" s="88">
        <f>SUMIF(Org!$C$10:Org!$D$560,412700,Org!G$10:Org!G$561)</f>
        <v>505510</v>
      </c>
      <c r="F18" s="112">
        <f t="shared" si="0"/>
        <v>109.13428324697753</v>
      </c>
      <c r="G18" s="318">
        <f t="shared" si="1"/>
        <v>1.7106304715685725</v>
      </c>
      <c r="I18" s="1"/>
      <c r="J18" s="364"/>
      <c r="K18" s="2"/>
      <c r="L18" s="2"/>
      <c r="M18" s="2"/>
    </row>
    <row r="19" spans="1:13" ht="13.5" customHeight="1">
      <c r="A19" s="253">
        <v>412800</v>
      </c>
      <c r="B19" s="87" t="s">
        <v>122</v>
      </c>
      <c r="C19" s="88">
        <f>SUMIF(Org!$C$10:Org!$D$560,412800,Org!E$10:Org!E$561)</f>
        <v>632000</v>
      </c>
      <c r="D19" s="88">
        <f t="shared" si="2"/>
        <v>298600</v>
      </c>
      <c r="E19" s="88">
        <f>SUMIF(Org!$C$10:Org!$D$560,412800,Org!G$10:Org!G$561)</f>
        <v>930600</v>
      </c>
      <c r="F19" s="112">
        <f t="shared" si="0"/>
        <v>147.24683544303798</v>
      </c>
      <c r="G19" s="318">
        <f t="shared" si="1"/>
        <v>3.149122108052686</v>
      </c>
      <c r="I19" s="1"/>
      <c r="J19" s="364"/>
      <c r="K19" s="2"/>
      <c r="L19" s="2"/>
      <c r="M19" s="2"/>
    </row>
    <row r="20" spans="1:13" ht="12.75" customHeight="1">
      <c r="A20" s="253">
        <v>412900</v>
      </c>
      <c r="B20" s="193" t="s">
        <v>301</v>
      </c>
      <c r="C20" s="88">
        <f>SUMIF(Org!$C$10:Org!$D$560,412900,Org!E$10:Org!E$561)</f>
        <v>852900</v>
      </c>
      <c r="D20" s="88">
        <f t="shared" si="2"/>
        <v>240155.6000000001</v>
      </c>
      <c r="E20" s="88">
        <f>SUMIF(Org!$C$10:Org!$D$560,412900,Org!G$10:Org!G$561)</f>
        <v>1093055.6</v>
      </c>
      <c r="F20" s="112">
        <f t="shared" si="0"/>
        <v>128.15753312228867</v>
      </c>
      <c r="G20" s="318">
        <f t="shared" si="1"/>
        <v>3.6988669195043995</v>
      </c>
      <c r="I20" s="1"/>
      <c r="J20" s="364"/>
      <c r="K20" s="2"/>
      <c r="L20" s="2"/>
      <c r="M20" s="2"/>
    </row>
    <row r="21" spans="1:13" ht="15.75" customHeight="1">
      <c r="A21" s="267">
        <v>413000</v>
      </c>
      <c r="B21" s="272" t="s">
        <v>124</v>
      </c>
      <c r="C21" s="273">
        <f>SUM(C22:C24)</f>
        <v>335000</v>
      </c>
      <c r="D21" s="273">
        <f>SUM(D22:D24)</f>
        <v>-80000</v>
      </c>
      <c r="E21" s="273">
        <f>SUM(E22:E24)</f>
        <v>255000</v>
      </c>
      <c r="F21" s="56">
        <f t="shared" si="0"/>
        <v>76.11940298507463</v>
      </c>
      <c r="G21" s="239">
        <f t="shared" si="1"/>
        <v>0.8629122475321676</v>
      </c>
      <c r="H21" s="1"/>
      <c r="I21" s="1"/>
      <c r="J21" s="364"/>
      <c r="K21" s="2"/>
      <c r="L21" s="2"/>
      <c r="M21" s="2"/>
    </row>
    <row r="22" spans="1:13" ht="12.75">
      <c r="A22" s="254">
        <v>413300</v>
      </c>
      <c r="B22" s="82" t="s">
        <v>125</v>
      </c>
      <c r="C22" s="255">
        <f>SUMIF(Org!$C$10:Org!$D$560,413300,Org!E$10:Org!E$561)</f>
        <v>285000</v>
      </c>
      <c r="D22" s="255">
        <f>E22-C22</f>
        <v>-160000</v>
      </c>
      <c r="E22" s="255">
        <f>SUMIF(Org!$C$10:Org!$D$560,413300,Org!G$10:Org!G$561)</f>
        <v>125000</v>
      </c>
      <c r="F22" s="112">
        <f t="shared" si="0"/>
        <v>43.859649122807014</v>
      </c>
      <c r="G22" s="318">
        <f t="shared" si="1"/>
        <v>0.4229961997706704</v>
      </c>
      <c r="I22" s="1"/>
      <c r="J22" s="364"/>
      <c r="K22" s="2"/>
      <c r="L22" s="2"/>
      <c r="M22" s="2"/>
    </row>
    <row r="23" spans="1:13" ht="18" customHeight="1" hidden="1">
      <c r="A23" s="254">
        <v>413400</v>
      </c>
      <c r="B23" s="82" t="s">
        <v>126</v>
      </c>
      <c r="C23" s="255"/>
      <c r="D23" s="255">
        <f>E23-C23</f>
        <v>0</v>
      </c>
      <c r="E23" s="255"/>
      <c r="F23" s="112" t="e">
        <f t="shared" si="0"/>
        <v>#DIV/0!</v>
      </c>
      <c r="G23" s="318">
        <f t="shared" si="1"/>
        <v>0</v>
      </c>
      <c r="I23" s="1"/>
      <c r="J23" s="364"/>
      <c r="K23" s="2"/>
      <c r="L23" s="2"/>
      <c r="M23" s="2"/>
    </row>
    <row r="24" spans="1:13" ht="19.5" customHeight="1">
      <c r="A24" s="254">
        <v>413700</v>
      </c>
      <c r="B24" s="82" t="s">
        <v>127</v>
      </c>
      <c r="C24" s="255">
        <f>SUMIF(Org!$C$10:Org!$D$560,413700,Org!E$10:Org!E$561)</f>
        <v>50000</v>
      </c>
      <c r="D24" s="255">
        <f>E24-C24</f>
        <v>80000</v>
      </c>
      <c r="E24" s="255">
        <f>SUMIF(Org!$C$10:Org!$D$560,413700,Org!G$10:Org!G$561)</f>
        <v>130000</v>
      </c>
      <c r="F24" s="112">
        <f t="shared" si="0"/>
        <v>260</v>
      </c>
      <c r="G24" s="318">
        <f t="shared" si="1"/>
        <v>0.4399160477614972</v>
      </c>
      <c r="I24" s="1"/>
      <c r="J24" s="364"/>
      <c r="K24" s="2"/>
      <c r="L24" s="2"/>
      <c r="M24" s="2"/>
    </row>
    <row r="25" spans="1:13" ht="13.5" customHeight="1">
      <c r="A25" s="267">
        <v>414000</v>
      </c>
      <c r="B25" s="268" t="s">
        <v>166</v>
      </c>
      <c r="C25" s="55">
        <f>SUM(C26)</f>
        <v>550000</v>
      </c>
      <c r="D25" s="55">
        <f>SUM(D26)</f>
        <v>0</v>
      </c>
      <c r="E25" s="55">
        <f>SUM(E26)</f>
        <v>550000</v>
      </c>
      <c r="F25" s="56">
        <f t="shared" si="0"/>
        <v>100</v>
      </c>
      <c r="G25" s="239">
        <f t="shared" si="1"/>
        <v>1.8611832789909495</v>
      </c>
      <c r="H25" s="1"/>
      <c r="I25" s="1"/>
      <c r="J25" s="364"/>
      <c r="K25" s="2"/>
      <c r="L25" s="2"/>
      <c r="M25" s="2"/>
    </row>
    <row r="26" spans="1:13" ht="15" customHeight="1">
      <c r="A26" s="254">
        <v>414100</v>
      </c>
      <c r="B26" s="82" t="s">
        <v>166</v>
      </c>
      <c r="C26" s="255">
        <f>SUMIF(Org!$C$10:Org!$D$560,414100,Org!E$10:Org!E$561)</f>
        <v>550000</v>
      </c>
      <c r="D26" s="255">
        <f>E26-C26</f>
        <v>0</v>
      </c>
      <c r="E26" s="255">
        <f>SUMIF(Org!$C$10:Org!$D$560,414100,Org!G$10:Org!G$561)</f>
        <v>550000</v>
      </c>
      <c r="F26" s="112">
        <f t="shared" si="0"/>
        <v>100</v>
      </c>
      <c r="G26" s="318">
        <f t="shared" si="1"/>
        <v>1.8611832789909495</v>
      </c>
      <c r="I26" s="1"/>
      <c r="J26" s="364"/>
      <c r="K26" s="2"/>
      <c r="L26" s="2"/>
      <c r="M26" s="2"/>
    </row>
    <row r="27" spans="1:13" ht="14.25" customHeight="1">
      <c r="A27" s="267">
        <v>415000</v>
      </c>
      <c r="B27" s="271" t="s">
        <v>128</v>
      </c>
      <c r="C27" s="55">
        <f>SUM(C28)</f>
        <v>1515500</v>
      </c>
      <c r="D27" s="55">
        <f>SUM(D28)</f>
        <v>426754.2899999998</v>
      </c>
      <c r="E27" s="55">
        <f>SUM(E28)</f>
        <v>1942254.2899999998</v>
      </c>
      <c r="F27" s="56">
        <f t="shared" si="0"/>
        <v>128.1593064995051</v>
      </c>
      <c r="G27" s="239">
        <f t="shared" si="1"/>
        <v>6.572529469266251</v>
      </c>
      <c r="I27" s="1"/>
      <c r="J27" s="364"/>
      <c r="K27" s="2"/>
      <c r="L27" s="2"/>
      <c r="M27" s="2"/>
    </row>
    <row r="28" spans="1:13" ht="15" customHeight="1">
      <c r="A28" s="253">
        <v>415200</v>
      </c>
      <c r="B28" s="193" t="s">
        <v>129</v>
      </c>
      <c r="C28" s="88">
        <f>SUMIF(Org!$C$10:Org!$D$560,415200,Org!E$10:Org!E$561)</f>
        <v>1515500</v>
      </c>
      <c r="D28" s="88">
        <f>E28-C28</f>
        <v>426754.2899999998</v>
      </c>
      <c r="E28" s="88">
        <f>SUMIF(Org!$C$10:Org!$D$560,415200,Org!G$10:Org!G$561)</f>
        <v>1942254.2899999998</v>
      </c>
      <c r="F28" s="112">
        <f t="shared" si="0"/>
        <v>128.1593064995051</v>
      </c>
      <c r="G28" s="318">
        <f t="shared" si="1"/>
        <v>6.572529469266251</v>
      </c>
      <c r="H28" s="1"/>
      <c r="I28" s="1"/>
      <c r="J28" s="364"/>
      <c r="K28" s="2"/>
      <c r="L28" s="2"/>
      <c r="M28" s="2"/>
    </row>
    <row r="29" spans="1:13" ht="19.5" customHeight="1">
      <c r="A29" s="267">
        <v>416000</v>
      </c>
      <c r="B29" s="272" t="s">
        <v>620</v>
      </c>
      <c r="C29" s="55">
        <f>SUM(C30:C31)</f>
        <v>4272900</v>
      </c>
      <c r="D29" s="55">
        <f>SUM(D30:D31)</f>
        <v>728163.2300000004</v>
      </c>
      <c r="E29" s="55">
        <f>SUM(E30:E31)</f>
        <v>5001063.23</v>
      </c>
      <c r="F29" s="56">
        <f t="shared" si="0"/>
        <v>117.04142924009456</v>
      </c>
      <c r="G29" s="239">
        <f t="shared" si="1"/>
        <v>16.923445928822673</v>
      </c>
      <c r="H29" s="1"/>
      <c r="I29" s="1"/>
      <c r="J29" s="366"/>
      <c r="K29" s="2"/>
      <c r="L29" s="2"/>
      <c r="M29" s="2"/>
    </row>
    <row r="30" spans="1:13" ht="25.5">
      <c r="A30" s="254">
        <v>416100</v>
      </c>
      <c r="B30" s="82" t="s">
        <v>130</v>
      </c>
      <c r="C30" s="88">
        <f>SUMIF(Org!$C$10:Org!$D$560,416100,Org!E$10:Org!E$561)</f>
        <v>3828900</v>
      </c>
      <c r="D30" s="88">
        <f>E30-C30</f>
        <v>584163.2300000004</v>
      </c>
      <c r="E30" s="88">
        <f>SUMIF(Org!$C$10:Org!$D$560,416100,Org!G$10:Org!G$561)</f>
        <v>4413063.23</v>
      </c>
      <c r="F30" s="112">
        <f t="shared" si="0"/>
        <v>115.25668547102302</v>
      </c>
      <c r="G30" s="318">
        <f t="shared" si="1"/>
        <v>14.93367180510144</v>
      </c>
      <c r="I30" s="1"/>
      <c r="J30" s="365"/>
      <c r="K30" s="2"/>
      <c r="L30" s="2"/>
      <c r="M30" s="2"/>
    </row>
    <row r="31" spans="1:13" ht="25.5">
      <c r="A31" s="254">
        <v>416300</v>
      </c>
      <c r="B31" s="82" t="s">
        <v>131</v>
      </c>
      <c r="C31" s="88">
        <f>SUMIF(Org!$C$10:Org!$D$560,416300,Org!E$10:Org!E$561)</f>
        <v>444000</v>
      </c>
      <c r="D31" s="88">
        <f>E31-C31</f>
        <v>144000</v>
      </c>
      <c r="E31" s="88">
        <f>SUMIF(Org!$C$10:Org!$D$560,416300,Org!G$10:Org!G$561)</f>
        <v>588000</v>
      </c>
      <c r="F31" s="112">
        <f t="shared" si="0"/>
        <v>132.43243243243242</v>
      </c>
      <c r="G31" s="318">
        <f t="shared" si="1"/>
        <v>1.9897741237212334</v>
      </c>
      <c r="I31" s="1"/>
      <c r="J31" s="2"/>
      <c r="K31" s="2"/>
      <c r="L31" s="2"/>
      <c r="M31" s="2"/>
    </row>
    <row r="32" spans="1:13" ht="27" customHeight="1">
      <c r="A32" s="267">
        <v>418000</v>
      </c>
      <c r="B32" s="268" t="s">
        <v>376</v>
      </c>
      <c r="C32" s="55">
        <f>SUM(C33:C35)</f>
        <v>85300</v>
      </c>
      <c r="D32" s="55">
        <f>SUM(D33:D35)</f>
        <v>3715</v>
      </c>
      <c r="E32" s="55">
        <f>SUM(E33:E35)</f>
        <v>89015</v>
      </c>
      <c r="F32" s="56">
        <f t="shared" si="0"/>
        <v>104.35521688159437</v>
      </c>
      <c r="G32" s="239">
        <f t="shared" si="1"/>
        <v>0.3012240537806898</v>
      </c>
      <c r="I32" s="1"/>
      <c r="J32" s="2"/>
      <c r="K32" s="2"/>
      <c r="L32" s="2"/>
      <c r="M32" s="2"/>
    </row>
    <row r="33" spans="1:13" ht="24" customHeight="1">
      <c r="A33" s="254">
        <v>418100</v>
      </c>
      <c r="B33" s="82" t="s">
        <v>362</v>
      </c>
      <c r="C33" s="88">
        <f>SUMIF(Org!$C$10:Org!$D$560,418100,Org!E$10:Org!E$561)</f>
        <v>3400</v>
      </c>
      <c r="D33" s="88">
        <f>E33-C33</f>
        <v>0</v>
      </c>
      <c r="E33" s="88">
        <f>SUMIF(Org!$C$10:Org!$D$560,418100,Org!G$10:Org!G$561)</f>
        <v>3400</v>
      </c>
      <c r="F33" s="112">
        <f t="shared" si="0"/>
        <v>100</v>
      </c>
      <c r="G33" s="318">
        <f t="shared" si="1"/>
        <v>0.011505496633762234</v>
      </c>
      <c r="I33" s="1"/>
      <c r="J33" s="2"/>
      <c r="K33" s="2"/>
      <c r="L33" s="2"/>
      <c r="M33" s="2"/>
    </row>
    <row r="34" spans="1:13" ht="12.75">
      <c r="A34" s="254">
        <v>418200</v>
      </c>
      <c r="B34" s="82" t="s">
        <v>377</v>
      </c>
      <c r="C34" s="88">
        <f>SUMIF(Org!$C$10:Org!$D$560,418200,Org!E$10:Org!E$561)</f>
        <v>31000</v>
      </c>
      <c r="D34" s="88">
        <f>E34-C34</f>
        <v>2820</v>
      </c>
      <c r="E34" s="88">
        <f>SUMIF(Org!$C$10:Org!$D$560,418200,Org!G$10:Org!G$561)</f>
        <v>33820</v>
      </c>
      <c r="F34" s="112">
        <f t="shared" si="0"/>
        <v>109.0967741935484</v>
      </c>
      <c r="G34" s="318">
        <f t="shared" si="1"/>
        <v>0.11444585180995256</v>
      </c>
      <c r="I34" s="1"/>
      <c r="J34" s="2"/>
      <c r="K34" s="2"/>
      <c r="L34" s="2"/>
      <c r="M34" s="2"/>
    </row>
    <row r="35" spans="1:13" ht="12.75">
      <c r="A35" s="341">
        <v>418400</v>
      </c>
      <c r="B35" s="82" t="s">
        <v>469</v>
      </c>
      <c r="C35" s="88">
        <f>SUMIF(Org!$C$10:Org!$D$560,418400,Org!E$10:Org!E$561)</f>
        <v>50900</v>
      </c>
      <c r="D35" s="88">
        <f>E35-C35</f>
        <v>895</v>
      </c>
      <c r="E35" s="88">
        <f>SUMIF(Org!$C$10:Org!$D$560,418400,Org!G$10:Org!G$561)</f>
        <v>51795</v>
      </c>
      <c r="F35" s="112">
        <f t="shared" si="0"/>
        <v>101.75834970530452</v>
      </c>
      <c r="G35" s="318">
        <f t="shared" si="1"/>
        <v>0.17527270533697495</v>
      </c>
      <c r="I35" s="1"/>
      <c r="J35" s="2"/>
      <c r="K35" s="2"/>
      <c r="L35" s="2"/>
      <c r="M35" s="2"/>
    </row>
    <row r="36" spans="1:13" ht="16.5" customHeight="1">
      <c r="A36" s="267">
        <v>419000</v>
      </c>
      <c r="B36" s="268" t="s">
        <v>283</v>
      </c>
      <c r="C36" s="55">
        <f>SUM(C37)</f>
        <v>152500</v>
      </c>
      <c r="D36" s="55">
        <f>SUM(D37)</f>
        <v>34000</v>
      </c>
      <c r="E36" s="55">
        <f>SUM(E37)</f>
        <v>186500</v>
      </c>
      <c r="F36" s="56">
        <f aca="true" t="shared" si="3" ref="F36:F56">E36/C36*100</f>
        <v>122.29508196721311</v>
      </c>
      <c r="G36" s="239">
        <f t="shared" si="1"/>
        <v>0.6311103300578402</v>
      </c>
      <c r="I36" s="1"/>
      <c r="J36" s="2"/>
      <c r="K36" s="2"/>
      <c r="L36" s="2"/>
      <c r="M36" s="2"/>
    </row>
    <row r="37" spans="1:13" ht="12.75">
      <c r="A37" s="254">
        <v>419100</v>
      </c>
      <c r="B37" s="82" t="s">
        <v>283</v>
      </c>
      <c r="C37" s="88">
        <f>SUMIF(Org!$C$10:Org!$D$560,419100,Org!E$10:Org!E$561)</f>
        <v>152500</v>
      </c>
      <c r="D37" s="88">
        <f>E37-C37</f>
        <v>34000</v>
      </c>
      <c r="E37" s="88">
        <f>SUMIF(Org!$C$10:Org!$D$560,419100,Org!G$10:Org!G$561)</f>
        <v>186500</v>
      </c>
      <c r="F37" s="112">
        <f t="shared" si="3"/>
        <v>122.29508196721311</v>
      </c>
      <c r="G37" s="318">
        <f t="shared" si="1"/>
        <v>0.6311103300578402</v>
      </c>
      <c r="H37" s="1"/>
      <c r="I37" s="1"/>
      <c r="J37" s="2"/>
      <c r="K37" s="2"/>
      <c r="L37" s="2"/>
      <c r="M37" s="2"/>
    </row>
    <row r="38" spans="1:13" ht="17.25" customHeight="1">
      <c r="A38" s="266">
        <v>480000</v>
      </c>
      <c r="B38" s="251" t="s">
        <v>303</v>
      </c>
      <c r="C38" s="50">
        <f>SUM(C39:C42)</f>
        <v>211500</v>
      </c>
      <c r="D38" s="50">
        <f>SUM(D39:D42)</f>
        <v>27140.4</v>
      </c>
      <c r="E38" s="50">
        <f>SUM(E39:E42)</f>
        <v>238640.4</v>
      </c>
      <c r="F38" s="50">
        <f t="shared" si="3"/>
        <v>112.83234042553192</v>
      </c>
      <c r="G38" s="175">
        <f t="shared" si="1"/>
        <v>0.8075518584940214</v>
      </c>
      <c r="H38" s="1"/>
      <c r="I38" s="1"/>
      <c r="J38" s="2"/>
      <c r="K38" s="2"/>
      <c r="L38" s="2"/>
      <c r="M38" s="2"/>
    </row>
    <row r="39" spans="1:13" ht="12.75">
      <c r="A39" s="274">
        <v>487200</v>
      </c>
      <c r="B39" s="156" t="s">
        <v>325</v>
      </c>
      <c r="C39" s="88">
        <f>SUMIF(Org!$C$10:Org!$D$560,487200,Org!E$10:Org!E$561)</f>
        <v>6000</v>
      </c>
      <c r="D39" s="88">
        <f>E39-C39</f>
        <v>0</v>
      </c>
      <c r="E39" s="88">
        <f>SUMIF(Org!$C$10:Org!$D$560,487200,Org!G$10:Org!G$561)</f>
        <v>6000</v>
      </c>
      <c r="F39" s="112">
        <f t="shared" si="3"/>
        <v>100</v>
      </c>
      <c r="G39" s="318">
        <f t="shared" si="1"/>
        <v>0.020303817588992176</v>
      </c>
      <c r="I39" s="1"/>
      <c r="J39" s="2"/>
      <c r="K39" s="2"/>
      <c r="L39" s="2"/>
      <c r="M39" s="2"/>
    </row>
    <row r="40" spans="1:13" ht="12.75">
      <c r="A40" s="274">
        <v>487300</v>
      </c>
      <c r="B40" s="156" t="s">
        <v>322</v>
      </c>
      <c r="C40" s="88">
        <f>SUMIF(Org!$C$10:Org!$D$560,487300,Org!E$10:Org!E$561)</f>
        <v>3000</v>
      </c>
      <c r="D40" s="88">
        <f>E40-C40</f>
        <v>2000</v>
      </c>
      <c r="E40" s="88">
        <f>SUMIF(Org!$C$10:Org!$D$560,487300,Org!G$10:Org!G$561)</f>
        <v>5000</v>
      </c>
      <c r="F40" s="112">
        <f t="shared" si="3"/>
        <v>166.66666666666669</v>
      </c>
      <c r="G40" s="318">
        <f t="shared" si="1"/>
        <v>0.016919847990826815</v>
      </c>
      <c r="I40" s="1"/>
      <c r="J40" s="2"/>
      <c r="K40" s="2"/>
      <c r="L40" s="2"/>
      <c r="M40" s="2"/>
    </row>
    <row r="41" spans="1:13" ht="12.75">
      <c r="A41" s="254">
        <v>487400</v>
      </c>
      <c r="B41" s="82" t="s">
        <v>302</v>
      </c>
      <c r="C41" s="88">
        <f>SUMIF(Org!$C$10:Org!$D$560,487400,Org!E$10:Org!E$561)</f>
        <v>181000</v>
      </c>
      <c r="D41" s="88">
        <f>E41-C41</f>
        <v>3000</v>
      </c>
      <c r="E41" s="88">
        <f>SUMIF(Org!$C$10:Org!$D$560,487400,Org!G$10:Org!G$561)</f>
        <v>184000</v>
      </c>
      <c r="F41" s="112">
        <f t="shared" si="3"/>
        <v>101.65745856353593</v>
      </c>
      <c r="G41" s="318">
        <f t="shared" si="1"/>
        <v>0.6226504060624267</v>
      </c>
      <c r="I41" s="1"/>
      <c r="J41" s="2"/>
      <c r="K41" s="2"/>
      <c r="L41" s="2"/>
      <c r="M41" s="2"/>
    </row>
    <row r="42" spans="1:13" ht="12.75">
      <c r="A42" s="254">
        <v>487900</v>
      </c>
      <c r="B42" s="82" t="s">
        <v>314</v>
      </c>
      <c r="C42" s="88">
        <f>SUMIF(Org!$C$10:Org!$D$560,487900,Org!E$10:Org!E$561)</f>
        <v>21500</v>
      </c>
      <c r="D42" s="88">
        <f>E42-C42</f>
        <v>22140.4</v>
      </c>
      <c r="E42" s="88">
        <f>SUMIF(Org!$C$10:Org!$D$560,487900,Org!G$10:Org!G$561)</f>
        <v>43640.4</v>
      </c>
      <c r="F42" s="112">
        <f t="shared" si="3"/>
        <v>202.9786046511628</v>
      </c>
      <c r="G42" s="318">
        <f t="shared" si="1"/>
        <v>0.14767778685177568</v>
      </c>
      <c r="I42" s="1"/>
      <c r="J42" s="2"/>
      <c r="K42" s="2"/>
      <c r="L42" s="2"/>
      <c r="M42" s="2"/>
    </row>
    <row r="43" spans="1:13" ht="19.5" customHeight="1">
      <c r="A43" s="266" t="s">
        <v>181</v>
      </c>
      <c r="B43" s="275" t="s">
        <v>285</v>
      </c>
      <c r="C43" s="50">
        <f>Org!E561</f>
        <v>210000</v>
      </c>
      <c r="D43" s="50">
        <f>Org!F561</f>
        <v>-180000</v>
      </c>
      <c r="E43" s="50">
        <f>Org!G561</f>
        <v>30000</v>
      </c>
      <c r="F43" s="50">
        <f t="shared" si="3"/>
        <v>14.285714285714285</v>
      </c>
      <c r="G43" s="175">
        <f t="shared" si="1"/>
        <v>0.10151908794496088</v>
      </c>
      <c r="H43" s="1"/>
      <c r="I43" s="1"/>
      <c r="J43" s="2"/>
      <c r="K43" s="2"/>
      <c r="L43" s="2"/>
      <c r="M43" s="2"/>
    </row>
    <row r="44" spans="1:13" ht="17.25" customHeight="1">
      <c r="A44" s="276">
        <v>510000</v>
      </c>
      <c r="B44" s="92" t="s">
        <v>311</v>
      </c>
      <c r="C44" s="44">
        <f>C45+C51+C54</f>
        <v>3785900</v>
      </c>
      <c r="D44" s="44">
        <f>D45+D51+D54</f>
        <v>2229921.6199999996</v>
      </c>
      <c r="E44" s="44">
        <f>E45+E51+E54</f>
        <v>6015821.62</v>
      </c>
      <c r="F44" s="44">
        <f t="shared" si="3"/>
        <v>158.90070049393802</v>
      </c>
      <c r="G44" s="265">
        <f t="shared" si="1"/>
        <v>20.3573574700659</v>
      </c>
      <c r="H44" s="1"/>
      <c r="I44" s="1"/>
      <c r="J44" s="2"/>
      <c r="K44" s="2"/>
      <c r="L44" s="2"/>
      <c r="M44" s="2"/>
    </row>
    <row r="45" spans="1:13" ht="15.75" customHeight="1">
      <c r="A45" s="267">
        <v>511000</v>
      </c>
      <c r="B45" s="271" t="s">
        <v>132</v>
      </c>
      <c r="C45" s="55">
        <f>SUM(C46:C50)</f>
        <v>3224200</v>
      </c>
      <c r="D45" s="55">
        <f>SUM(D46:D50)</f>
        <v>2255268.1399999997</v>
      </c>
      <c r="E45" s="55">
        <f>SUM(E46:E50)</f>
        <v>5479468.14</v>
      </c>
      <c r="F45" s="56">
        <f t="shared" si="3"/>
        <v>169.94814651696544</v>
      </c>
      <c r="G45" s="239">
        <f t="shared" si="1"/>
        <v>18.542353599875707</v>
      </c>
      <c r="I45" s="1"/>
      <c r="J45" s="2"/>
      <c r="K45" s="2"/>
      <c r="L45" s="2"/>
      <c r="M45" s="2"/>
    </row>
    <row r="46" spans="1:13" ht="12.75" customHeight="1">
      <c r="A46" s="253">
        <v>511100</v>
      </c>
      <c r="B46" s="115" t="s">
        <v>133</v>
      </c>
      <c r="C46" s="255">
        <f>SUMIF(Org!$C$10:Org!$D$560,511100,Org!E$10:Org!E$560)</f>
        <v>140000</v>
      </c>
      <c r="D46" s="255">
        <f>E46-C46</f>
        <v>-130000</v>
      </c>
      <c r="E46" s="255">
        <f>SUMIF(Org!$C$10:Org!$D$560,511100,Org!G$10:Org!G$560)</f>
        <v>10000</v>
      </c>
      <c r="F46" s="112">
        <f t="shared" si="3"/>
        <v>7.142857142857142</v>
      </c>
      <c r="G46" s="318">
        <f t="shared" si="1"/>
        <v>0.03383969598165363</v>
      </c>
      <c r="H46" s="1"/>
      <c r="I46" s="1"/>
      <c r="J46" s="2"/>
      <c r="K46" s="2"/>
      <c r="L46" s="2"/>
      <c r="M46" s="2"/>
    </row>
    <row r="47" spans="1:13" ht="27" customHeight="1">
      <c r="A47" s="254">
        <v>511200</v>
      </c>
      <c r="B47" s="82" t="s">
        <v>134</v>
      </c>
      <c r="C47" s="255">
        <f>SUMIF(Org!$C$10:Org!$D$560,511200,Org!E$10:Org!E$560)</f>
        <v>2458000</v>
      </c>
      <c r="D47" s="255">
        <f>E47-C47</f>
        <v>2212548.1399999997</v>
      </c>
      <c r="E47" s="255">
        <f>SUMIF(Org!$C$10:Org!$D$560,511200,Org!G$10:Org!G$560)</f>
        <v>4670548.14</v>
      </c>
      <c r="F47" s="112">
        <f t="shared" si="3"/>
        <v>190.01416354759965</v>
      </c>
      <c r="G47" s="318">
        <f t="shared" si="1"/>
        <v>15.804992912527782</v>
      </c>
      <c r="I47" s="1"/>
      <c r="J47" s="2"/>
      <c r="K47" s="2"/>
      <c r="L47" s="2"/>
      <c r="M47" s="2"/>
    </row>
    <row r="48" spans="1:13" ht="12.75" customHeight="1">
      <c r="A48" s="254">
        <v>511300</v>
      </c>
      <c r="B48" s="122" t="s">
        <v>135</v>
      </c>
      <c r="C48" s="255">
        <f>SUMIF(Org!$C$10:Org!$D$560,511300,Org!E$10:Org!E$560)</f>
        <v>616200</v>
      </c>
      <c r="D48" s="255">
        <f>E48-C48</f>
        <v>172720</v>
      </c>
      <c r="E48" s="255">
        <f>SUMIF(Org!$C$10:Org!$D$560,511300,Org!G$10:Org!G$560)</f>
        <v>788920</v>
      </c>
      <c r="F48" s="112">
        <f t="shared" si="3"/>
        <v>128.02986043492373</v>
      </c>
      <c r="G48" s="318">
        <f t="shared" si="1"/>
        <v>2.669681295384618</v>
      </c>
      <c r="I48" s="1"/>
      <c r="J48" s="2"/>
      <c r="K48" s="2"/>
      <c r="L48" s="2"/>
      <c r="M48" s="2"/>
    </row>
    <row r="49" spans="1:13" ht="12.75" customHeight="1">
      <c r="A49" s="254">
        <v>511400</v>
      </c>
      <c r="B49" s="122" t="s">
        <v>214</v>
      </c>
      <c r="C49" s="255">
        <f>SUMIF(Org!$C$10:Org!$D$560,511400,Org!E$10:Org!E$560)</f>
        <v>10000</v>
      </c>
      <c r="D49" s="255">
        <f>E49-C49</f>
        <v>0</v>
      </c>
      <c r="E49" s="255">
        <f>SUMIF(Org!$C$10:Org!$D$560,511400,Org!G$10:Org!G$560)</f>
        <v>10000</v>
      </c>
      <c r="F49" s="112">
        <f t="shared" si="3"/>
        <v>100</v>
      </c>
      <c r="G49" s="318">
        <f t="shared" si="1"/>
        <v>0.03383969598165363</v>
      </c>
      <c r="I49" s="1"/>
      <c r="J49" s="2"/>
      <c r="K49" s="2"/>
      <c r="L49" s="2"/>
      <c r="M49" s="2"/>
    </row>
    <row r="50" spans="1:13" ht="12.75" customHeight="1">
      <c r="A50" s="254">
        <v>511700</v>
      </c>
      <c r="B50" s="122" t="s">
        <v>446</v>
      </c>
      <c r="C50" s="255">
        <f>SUMIF(Org!$C$10:Org!$D$560,511700,Org!E$10:Org!E$560)</f>
        <v>0</v>
      </c>
      <c r="D50" s="255">
        <f>E50-C50</f>
        <v>0</v>
      </c>
      <c r="E50" s="255">
        <f>SUMIF(Org!$C$10:Org!$D$560,511700,Org!G$10:Org!G$560)</f>
        <v>0</v>
      </c>
      <c r="F50" s="112" t="e">
        <f t="shared" si="3"/>
        <v>#DIV/0!</v>
      </c>
      <c r="G50" s="318">
        <f t="shared" si="1"/>
        <v>0</v>
      </c>
      <c r="I50" s="1"/>
      <c r="J50" s="2"/>
      <c r="K50" s="2"/>
      <c r="L50" s="2"/>
      <c r="M50" s="2"/>
    </row>
    <row r="51" spans="1:13" ht="15.75" customHeight="1">
      <c r="A51" s="277">
        <v>513000</v>
      </c>
      <c r="B51" s="271" t="s">
        <v>157</v>
      </c>
      <c r="C51" s="55">
        <f>SUM(C52:C53)</f>
        <v>150000</v>
      </c>
      <c r="D51" s="55">
        <f>SUM(D52:D53)</f>
        <v>-29346.520000000004</v>
      </c>
      <c r="E51" s="55">
        <f>SUM(E52:E53)</f>
        <v>120653.48</v>
      </c>
      <c r="F51" s="56">
        <f t="shared" si="3"/>
        <v>80.43565333333333</v>
      </c>
      <c r="G51" s="239">
        <f t="shared" si="1"/>
        <v>0.40828770823285265</v>
      </c>
      <c r="H51" s="1"/>
      <c r="I51" s="1"/>
      <c r="J51" s="2"/>
      <c r="K51" s="2"/>
      <c r="L51" s="2"/>
      <c r="M51" s="2"/>
    </row>
    <row r="52" spans="1:13" ht="12.75" customHeight="1">
      <c r="A52" s="254">
        <v>513100</v>
      </c>
      <c r="B52" s="122" t="s">
        <v>158</v>
      </c>
      <c r="C52" s="255">
        <f>SUMIF(Org!$C$10:Org!$D$560,513100,Org!E$10:Org!E$560)</f>
        <v>150000</v>
      </c>
      <c r="D52" s="255">
        <f>E52-C52</f>
        <v>-29346.520000000004</v>
      </c>
      <c r="E52" s="255">
        <f>SUMIF(Org!$C$10:Org!$D$560,513100,Org!G$10:Org!G$560)</f>
        <v>120653.48</v>
      </c>
      <c r="F52" s="112">
        <f t="shared" si="3"/>
        <v>80.43565333333333</v>
      </c>
      <c r="G52" s="318">
        <f t="shared" si="1"/>
        <v>0.40828770823285265</v>
      </c>
      <c r="I52" s="1"/>
      <c r="J52" s="2"/>
      <c r="K52" s="2"/>
      <c r="L52" s="2"/>
      <c r="M52" s="2"/>
    </row>
    <row r="53" spans="1:13" ht="12.75" customHeight="1" hidden="1">
      <c r="A53" s="254">
        <v>513700</v>
      </c>
      <c r="B53" s="122" t="s">
        <v>447</v>
      </c>
      <c r="C53" s="255"/>
      <c r="D53" s="255"/>
      <c r="E53" s="255"/>
      <c r="F53" s="44" t="e">
        <f t="shared" si="3"/>
        <v>#DIV/0!</v>
      </c>
      <c r="G53" s="265">
        <f t="shared" si="1"/>
        <v>0</v>
      </c>
      <c r="I53" s="1"/>
      <c r="J53" s="2"/>
      <c r="K53" s="2"/>
      <c r="L53" s="2"/>
      <c r="M53" s="2"/>
    </row>
    <row r="54" spans="1:13" ht="28.5" customHeight="1">
      <c r="A54" s="277">
        <v>516000</v>
      </c>
      <c r="B54" s="268" t="s">
        <v>257</v>
      </c>
      <c r="C54" s="55">
        <f>SUM(C55)</f>
        <v>411700</v>
      </c>
      <c r="D54" s="55">
        <f>SUM(D55)</f>
        <v>4000</v>
      </c>
      <c r="E54" s="55">
        <f>SUM(E55)</f>
        <v>415700</v>
      </c>
      <c r="F54" s="56">
        <f t="shared" si="3"/>
        <v>100.97158124848191</v>
      </c>
      <c r="G54" s="239">
        <f t="shared" si="1"/>
        <v>1.4067161619573414</v>
      </c>
      <c r="H54" s="1"/>
      <c r="I54" s="1"/>
      <c r="J54" s="2"/>
      <c r="K54" s="2"/>
      <c r="L54" s="2"/>
      <c r="M54" s="2"/>
    </row>
    <row r="55" spans="1:13" ht="24.75" customHeight="1">
      <c r="A55" s="254">
        <v>516100</v>
      </c>
      <c r="B55" s="82" t="s">
        <v>257</v>
      </c>
      <c r="C55" s="255">
        <f>SUMIF(Org!$C$10:Org!$D$560,516100,Org!E$10:Org!E$560)</f>
        <v>411700</v>
      </c>
      <c r="D55" s="255">
        <f>E55-C55</f>
        <v>4000</v>
      </c>
      <c r="E55" s="255">
        <f>SUMIF(Org!$C$10:Org!$D$560,516100,Org!G$10:Org!G$560)</f>
        <v>415700</v>
      </c>
      <c r="F55" s="112">
        <f t="shared" si="3"/>
        <v>100.97158124848191</v>
      </c>
      <c r="G55" s="318">
        <f t="shared" si="1"/>
        <v>1.4067161619573414</v>
      </c>
      <c r="I55" s="1"/>
      <c r="J55" s="2"/>
      <c r="K55" s="2"/>
      <c r="L55" s="2"/>
      <c r="M55" s="2"/>
    </row>
    <row r="56" spans="1:13" ht="31.5" customHeight="1" thickBot="1">
      <c r="A56" s="278"/>
      <c r="B56" s="95" t="s">
        <v>246</v>
      </c>
      <c r="C56" s="97">
        <f>C4+C44</f>
        <v>25711600</v>
      </c>
      <c r="D56" s="97">
        <f>D4+D44</f>
        <v>3839492.91</v>
      </c>
      <c r="E56" s="97">
        <f>E4+E44</f>
        <v>29551092.91</v>
      </c>
      <c r="F56" s="97">
        <f t="shared" si="3"/>
        <v>114.93292097730208</v>
      </c>
      <c r="G56" s="279">
        <f t="shared" si="1"/>
        <v>100</v>
      </c>
      <c r="H56" s="1"/>
      <c r="I56" s="1"/>
      <c r="J56" s="2"/>
      <c r="K56" s="2"/>
      <c r="L56" s="2"/>
      <c r="M56" s="2"/>
    </row>
    <row r="57" spans="1:13" ht="22.5" customHeight="1" thickTop="1">
      <c r="A57" s="17"/>
      <c r="B57" s="35"/>
      <c r="C57" s="34"/>
      <c r="D57" s="34"/>
      <c r="E57" s="34"/>
      <c r="F57" s="34"/>
      <c r="G57" s="36"/>
      <c r="H57" s="1"/>
      <c r="I57" s="1"/>
      <c r="J57" s="2"/>
      <c r="K57" s="2"/>
      <c r="L57" s="2"/>
      <c r="M57" s="2"/>
    </row>
    <row r="58" spans="1:13" ht="22.5" customHeight="1">
      <c r="A58" s="17"/>
      <c r="B58" s="35"/>
      <c r="C58" s="34"/>
      <c r="D58" s="34"/>
      <c r="E58" s="34"/>
      <c r="F58" s="34"/>
      <c r="G58" s="36"/>
      <c r="H58" s="1"/>
      <c r="I58" s="1"/>
      <c r="J58" s="2"/>
      <c r="K58" s="2"/>
      <c r="L58" s="2"/>
      <c r="M58" s="2"/>
    </row>
    <row r="59" spans="1:13" ht="13.5" customHeight="1">
      <c r="A59" s="17"/>
      <c r="B59" s="35"/>
      <c r="C59" s="34"/>
      <c r="D59" s="34"/>
      <c r="E59" s="34"/>
      <c r="F59" s="34"/>
      <c r="G59" s="36"/>
      <c r="H59" s="1"/>
      <c r="I59" s="1"/>
      <c r="J59" s="2"/>
      <c r="K59" s="2"/>
      <c r="L59" s="2"/>
      <c r="M59" s="2"/>
    </row>
    <row r="60" spans="1:13" ht="16.5" customHeight="1">
      <c r="A60" s="10"/>
      <c r="B60" s="409"/>
      <c r="C60" s="370"/>
      <c r="D60" s="370"/>
      <c r="E60" s="370"/>
      <c r="F60" s="11"/>
      <c r="G60" s="369"/>
      <c r="I60" s="1"/>
      <c r="J60" s="2"/>
      <c r="K60" s="2"/>
      <c r="L60" s="2"/>
      <c r="M60" s="2"/>
    </row>
    <row r="61" spans="1:13" ht="16.5" customHeight="1">
      <c r="A61" s="10"/>
      <c r="B61" s="389"/>
      <c r="C61" s="11"/>
      <c r="D61" s="370"/>
      <c r="E61" s="11"/>
      <c r="F61" s="11"/>
      <c r="G61" s="369"/>
      <c r="H61" s="1"/>
      <c r="I61" s="1"/>
      <c r="J61" s="364"/>
      <c r="K61" s="2"/>
      <c r="L61" s="2"/>
      <c r="M61" s="2"/>
    </row>
    <row r="62" spans="2:13" ht="20.25" customHeight="1">
      <c r="B62" s="390"/>
      <c r="C62" s="367"/>
      <c r="D62" s="367"/>
      <c r="E62" s="367"/>
      <c r="F62" s="11"/>
      <c r="G62" s="369"/>
      <c r="H62" s="1"/>
      <c r="I62" s="1"/>
      <c r="J62" s="2"/>
      <c r="K62" s="2"/>
      <c r="L62" s="2"/>
      <c r="M62" s="2"/>
    </row>
    <row r="63" spans="2:13" ht="18" customHeight="1">
      <c r="B63" s="390"/>
      <c r="C63" s="367"/>
      <c r="D63" s="367"/>
      <c r="E63" s="367"/>
      <c r="F63" s="11"/>
      <c r="G63" s="369"/>
      <c r="I63" s="1"/>
      <c r="J63" s="2"/>
      <c r="K63" s="2"/>
      <c r="L63" s="2"/>
      <c r="M63" s="2"/>
    </row>
    <row r="64" spans="2:13" ht="10.5" customHeight="1">
      <c r="B64" s="2"/>
      <c r="C64" s="2"/>
      <c r="D64" s="2"/>
      <c r="E64" s="2"/>
      <c r="I64" s="2"/>
      <c r="J64" s="2"/>
      <c r="K64" s="2"/>
      <c r="L64" s="2"/>
      <c r="M64" s="2"/>
    </row>
    <row r="65" spans="2:13" ht="18.75" customHeight="1">
      <c r="B65" s="2"/>
      <c r="C65" s="364"/>
      <c r="D65" s="364"/>
      <c r="E65" s="364"/>
      <c r="F65" s="1"/>
      <c r="I65" s="2"/>
      <c r="J65" s="2"/>
      <c r="K65" s="2"/>
      <c r="L65" s="2"/>
      <c r="M65" s="2"/>
    </row>
    <row r="66" spans="2:13" ht="12.75" customHeight="1">
      <c r="B66" s="390"/>
      <c r="C66" s="367"/>
      <c r="D66" s="367"/>
      <c r="E66" s="367"/>
      <c r="I66" s="2"/>
      <c r="J66" s="2"/>
      <c r="K66" s="2"/>
      <c r="L66" s="2"/>
      <c r="M66" s="2"/>
    </row>
    <row r="67" spans="2:13" ht="12.75" customHeight="1">
      <c r="B67" s="368"/>
      <c r="C67" s="367"/>
      <c r="D67" s="367"/>
      <c r="E67" s="367"/>
      <c r="I67" s="2"/>
      <c r="J67" s="2"/>
      <c r="K67" s="2"/>
      <c r="L67" s="2"/>
      <c r="M67" s="2"/>
    </row>
    <row r="68" spans="2:13" ht="12.75" customHeight="1">
      <c r="B68" s="457"/>
      <c r="C68" s="364"/>
      <c r="D68" s="364"/>
      <c r="E68" s="364"/>
      <c r="I68" s="2"/>
      <c r="J68" s="2"/>
      <c r="K68" s="2"/>
      <c r="L68" s="2"/>
      <c r="M68" s="2"/>
    </row>
    <row r="69" ht="8.25" customHeight="1"/>
    <row r="70" spans="2:5" ht="12.75" customHeight="1" hidden="1">
      <c r="B70" s="352"/>
      <c r="C70" s="1"/>
      <c r="D70" s="1"/>
      <c r="E70" s="1"/>
    </row>
    <row r="71" spans="2:5" ht="12.75" customHeight="1" hidden="1">
      <c r="B71" s="352"/>
      <c r="C71" s="1"/>
      <c r="D71" s="1"/>
      <c r="E71" s="1"/>
    </row>
    <row r="72" spans="3:5" ht="12.75" customHeight="1" hidden="1">
      <c r="C72" s="1"/>
      <c r="D72" s="1"/>
      <c r="E72" s="1"/>
    </row>
  </sheetData>
  <sheetProtection/>
  <mergeCells count="1">
    <mergeCell ref="A1:G1"/>
  </mergeCells>
  <printOptions horizontalCentered="1"/>
  <pageMargins left="0.15748031496062992" right="0.15748031496062992" top="0.5118110236220472" bottom="0.4330708661417323" header="0.3937007874015748" footer="0.1968503937007874"/>
  <pageSetup horizontalDpi="600" verticalDpi="600" orientation="landscape" paperSize="9" r:id="rId1"/>
  <headerFooter alignWithMargins="0">
    <oddFooter>&amp;R&amp;P</oddFooter>
  </headerFooter>
  <rowBreaks count="1" manualBreakCount="1">
    <brk id="3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45"/>
  <sheetViews>
    <sheetView zoomScale="106" zoomScaleNormal="10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44" sqref="E44:E50"/>
    </sheetView>
  </sheetViews>
  <sheetFormatPr defaultColWidth="9.140625" defaultRowHeight="12.75"/>
  <cols>
    <col min="1" max="1" width="12.8515625" style="0" customWidth="1"/>
    <col min="2" max="2" width="69.57421875" style="0" customWidth="1"/>
    <col min="3" max="4" width="18.421875" style="0" customWidth="1"/>
    <col min="5" max="5" width="18.7109375" style="0" customWidth="1"/>
    <col min="6" max="6" width="11.57421875" style="0" customWidth="1"/>
    <col min="8" max="8" width="19.140625" style="0" customWidth="1"/>
  </cols>
  <sheetData>
    <row r="1" spans="1:4" ht="39.75" customHeight="1" thickBot="1">
      <c r="A1" s="490" t="s">
        <v>573</v>
      </c>
      <c r="B1" s="490"/>
      <c r="C1" s="490"/>
      <c r="D1" s="445"/>
    </row>
    <row r="2" spans="1:5" ht="18.75" customHeight="1" thickTop="1">
      <c r="A2" s="465" t="s">
        <v>54</v>
      </c>
      <c r="B2" s="467" t="s">
        <v>191</v>
      </c>
      <c r="C2" s="471" t="s">
        <v>537</v>
      </c>
      <c r="D2" s="471" t="s">
        <v>559</v>
      </c>
      <c r="E2" s="488" t="s">
        <v>556</v>
      </c>
    </row>
    <row r="3" spans="1:5" ht="44.25" customHeight="1">
      <c r="A3" s="466"/>
      <c r="B3" s="468"/>
      <c r="C3" s="472"/>
      <c r="D3" s="472"/>
      <c r="E3" s="489"/>
    </row>
    <row r="4" spans="1:5" s="5" customFormat="1" ht="12.75" customHeight="1">
      <c r="A4" s="102">
        <v>1</v>
      </c>
      <c r="B4" s="100">
        <v>2</v>
      </c>
      <c r="C4" s="452">
        <v>3</v>
      </c>
      <c r="D4" s="453" t="s">
        <v>561</v>
      </c>
      <c r="E4" s="433">
        <v>5</v>
      </c>
    </row>
    <row r="5" spans="1:5" ht="15.75" customHeight="1">
      <c r="A5" s="274"/>
      <c r="B5" s="251" t="s">
        <v>242</v>
      </c>
      <c r="C5" s="50">
        <f>C6-C8</f>
        <v>0</v>
      </c>
      <c r="D5" s="50">
        <f>D6-D8</f>
        <v>0</v>
      </c>
      <c r="E5" s="158">
        <f>E6-E8</f>
        <v>0</v>
      </c>
    </row>
    <row r="6" spans="1:5" ht="16.5" customHeight="1">
      <c r="A6" s="434">
        <v>910000</v>
      </c>
      <c r="B6" s="252" t="s">
        <v>236</v>
      </c>
      <c r="C6" s="56">
        <f>SUM(C7)</f>
        <v>0</v>
      </c>
      <c r="D6" s="56">
        <f>SUM(D7)</f>
        <v>0</v>
      </c>
      <c r="E6" s="58">
        <f>SUM(E7)</f>
        <v>0</v>
      </c>
    </row>
    <row r="7" spans="1:5" ht="12.75">
      <c r="A7" s="274">
        <v>911400</v>
      </c>
      <c r="B7" s="156" t="s">
        <v>474</v>
      </c>
      <c r="C7" s="62">
        <v>0</v>
      </c>
      <c r="D7" s="62">
        <f>E7-C7</f>
        <v>0</v>
      </c>
      <c r="E7" s="64">
        <v>0</v>
      </c>
    </row>
    <row r="8" spans="1:5" ht="18" customHeight="1">
      <c r="A8" s="434">
        <v>610000</v>
      </c>
      <c r="B8" s="252" t="s">
        <v>238</v>
      </c>
      <c r="C8" s="56">
        <f>SUM(C9)</f>
        <v>0</v>
      </c>
      <c r="D8" s="56">
        <f>SUM(D9)</f>
        <v>0</v>
      </c>
      <c r="E8" s="58">
        <f>SUM(E9)</f>
        <v>0</v>
      </c>
    </row>
    <row r="9" spans="1:5" ht="12.75">
      <c r="A9" s="253">
        <v>611000</v>
      </c>
      <c r="B9" s="156" t="s">
        <v>239</v>
      </c>
      <c r="C9" s="62">
        <v>0</v>
      </c>
      <c r="D9" s="62">
        <f>E9-C9</f>
        <v>0</v>
      </c>
      <c r="E9" s="64">
        <v>0</v>
      </c>
    </row>
    <row r="10" spans="1:8" ht="15.75" customHeight="1">
      <c r="A10" s="253"/>
      <c r="B10" s="251" t="s">
        <v>256</v>
      </c>
      <c r="C10" s="50">
        <f>C11-C13</f>
        <v>-512000</v>
      </c>
      <c r="D10" s="50">
        <f>D11-D13</f>
        <v>2090592.37</v>
      </c>
      <c r="E10" s="158">
        <f>E11-E13</f>
        <v>1578592.37</v>
      </c>
      <c r="H10" s="1"/>
    </row>
    <row r="11" spans="1:7" ht="18" customHeight="1">
      <c r="A11" s="434">
        <v>920000</v>
      </c>
      <c r="B11" s="252" t="s">
        <v>243</v>
      </c>
      <c r="C11" s="56">
        <f>C12</f>
        <v>1300000</v>
      </c>
      <c r="D11" s="56">
        <f>D12</f>
        <v>1483592.37</v>
      </c>
      <c r="E11" s="58">
        <f>E12</f>
        <v>2783592.37</v>
      </c>
      <c r="G11" s="1"/>
    </row>
    <row r="12" spans="1:8" ht="12.75">
      <c r="A12" s="274">
        <v>921200</v>
      </c>
      <c r="B12" s="69" t="s">
        <v>267</v>
      </c>
      <c r="C12" s="62">
        <v>1300000</v>
      </c>
      <c r="D12" s="62">
        <f>E12-C12</f>
        <v>1483592.37</v>
      </c>
      <c r="E12" s="64">
        <v>2783592.37</v>
      </c>
      <c r="H12" s="1"/>
    </row>
    <row r="13" spans="1:5" ht="17.25" customHeight="1">
      <c r="A13" s="434">
        <v>620000</v>
      </c>
      <c r="B13" s="252" t="s">
        <v>241</v>
      </c>
      <c r="C13" s="56">
        <f>C14+C17</f>
        <v>1812000</v>
      </c>
      <c r="D13" s="56">
        <f>D14+D17</f>
        <v>-607000</v>
      </c>
      <c r="E13" s="58">
        <f>E14+E17</f>
        <v>1205000</v>
      </c>
    </row>
    <row r="14" spans="1:5" ht="17.25" customHeight="1">
      <c r="A14" s="434">
        <v>621000</v>
      </c>
      <c r="B14" s="80" t="s">
        <v>136</v>
      </c>
      <c r="C14" s="74">
        <f>SUM(C15:C16)</f>
        <v>1632000</v>
      </c>
      <c r="D14" s="74">
        <f>SUM(D15:D16)</f>
        <v>-607000</v>
      </c>
      <c r="E14" s="435">
        <f>SUM(E15:E16)</f>
        <v>1025000</v>
      </c>
    </row>
    <row r="15" spans="1:5" ht="16.5" customHeight="1">
      <c r="A15" s="341">
        <v>621300</v>
      </c>
      <c r="B15" s="82" t="s">
        <v>142</v>
      </c>
      <c r="C15" s="255">
        <f>SUMIF(Org!$C$10:$D$554,621300,Org!E$10:E$554)</f>
        <v>1547000</v>
      </c>
      <c r="D15" s="255">
        <f>E15-C15</f>
        <v>-607000</v>
      </c>
      <c r="E15" s="256">
        <f>SUMIF(Org!$C$10:$D$554,621300,Org!G$10:G$554)</f>
        <v>940000</v>
      </c>
    </row>
    <row r="16" spans="1:5" ht="15.75" customHeight="1">
      <c r="A16" s="254">
        <v>621900</v>
      </c>
      <c r="B16" s="82" t="s">
        <v>269</v>
      </c>
      <c r="C16" s="255">
        <f>SUMIF(Org!$C$10:$D$554,621900,Org!E$10:E$554)</f>
        <v>85000</v>
      </c>
      <c r="D16" s="255">
        <f>E16-C16</f>
        <v>0</v>
      </c>
      <c r="E16" s="256">
        <f>SUMIF(Org!$C$10:$D$554,621900,Org!G$10:G$554)</f>
        <v>85000</v>
      </c>
    </row>
    <row r="17" spans="1:5" ht="15.75" customHeight="1">
      <c r="A17" s="434">
        <v>628000</v>
      </c>
      <c r="B17" s="133" t="s">
        <v>363</v>
      </c>
      <c r="C17" s="77">
        <f>SUM(C18)</f>
        <v>180000</v>
      </c>
      <c r="D17" s="77">
        <f>SUM(D18)</f>
        <v>0</v>
      </c>
      <c r="E17" s="436">
        <f>SUM(E18)</f>
        <v>180000</v>
      </c>
    </row>
    <row r="18" spans="1:5" ht="15.75" customHeight="1">
      <c r="A18" s="254">
        <v>628100</v>
      </c>
      <c r="B18" s="82" t="s">
        <v>366</v>
      </c>
      <c r="C18" s="255">
        <f>SUMIF(Org!$C$10:$D$554,628100,Org!E$10:E$554)</f>
        <v>180000</v>
      </c>
      <c r="D18" s="255">
        <f>E18-C18</f>
        <v>0</v>
      </c>
      <c r="E18" s="256">
        <f>SUMIF(Org!$C$10:$D$554,628100,Org!G$10:G$554)</f>
        <v>180000</v>
      </c>
    </row>
    <row r="19" spans="1:5" ht="12.75">
      <c r="A19" s="254"/>
      <c r="B19" s="251" t="s">
        <v>305</v>
      </c>
      <c r="C19" s="50">
        <f>C20-C26</f>
        <v>-31400</v>
      </c>
      <c r="D19" s="50">
        <f>D20-D26</f>
        <v>-263723.94</v>
      </c>
      <c r="E19" s="158">
        <f>E20-E26</f>
        <v>-295123.94000000006</v>
      </c>
    </row>
    <row r="20" spans="1:5" ht="15.75" customHeight="1">
      <c r="A20" s="434">
        <v>930000</v>
      </c>
      <c r="B20" s="252" t="s">
        <v>306</v>
      </c>
      <c r="C20" s="56">
        <f>C21+C23</f>
        <v>365000</v>
      </c>
      <c r="D20" s="56">
        <f>D21+D23</f>
        <v>-16216.850000000006</v>
      </c>
      <c r="E20" s="58">
        <f>E21+E23</f>
        <v>348783.15</v>
      </c>
    </row>
    <row r="21" spans="1:5" ht="12.75">
      <c r="A21" s="434">
        <v>931000</v>
      </c>
      <c r="B21" s="80" t="s">
        <v>290</v>
      </c>
      <c r="C21" s="74">
        <f>SUM(C22:C22)</f>
        <v>35000</v>
      </c>
      <c r="D21" s="74">
        <f>SUM(D22:D22)</f>
        <v>500</v>
      </c>
      <c r="E21" s="435">
        <f>SUM(E22:E22)</f>
        <v>35500</v>
      </c>
    </row>
    <row r="22" spans="1:5" ht="16.5" customHeight="1">
      <c r="A22" s="274">
        <v>931100</v>
      </c>
      <c r="B22" s="156" t="s">
        <v>475</v>
      </c>
      <c r="C22" s="62">
        <v>35000</v>
      </c>
      <c r="D22" s="62">
        <f>E22-C22</f>
        <v>500</v>
      </c>
      <c r="E22" s="64">
        <v>35500</v>
      </c>
    </row>
    <row r="23" spans="1:5" ht="20.25" customHeight="1">
      <c r="A23" s="434">
        <v>938000</v>
      </c>
      <c r="B23" s="258" t="s">
        <v>331</v>
      </c>
      <c r="C23" s="75">
        <f>SUM(C24:C25)</f>
        <v>330000</v>
      </c>
      <c r="D23" s="75">
        <f>SUM(D24:D25)</f>
        <v>-16716.850000000006</v>
      </c>
      <c r="E23" s="76">
        <f>SUM(E24:E25)</f>
        <v>313283.15</v>
      </c>
    </row>
    <row r="24" spans="1:8" ht="25.5">
      <c r="A24" s="254">
        <v>938100</v>
      </c>
      <c r="B24" s="69" t="s">
        <v>332</v>
      </c>
      <c r="C24" s="88">
        <v>270000</v>
      </c>
      <c r="D24" s="88">
        <f>E24-C24</f>
        <v>-58716.850000000006</v>
      </c>
      <c r="E24" s="437">
        <v>211283.15</v>
      </c>
      <c r="F24" s="1"/>
      <c r="H24" s="1"/>
    </row>
    <row r="25" spans="1:5" ht="25.5">
      <c r="A25" s="341">
        <v>938100</v>
      </c>
      <c r="B25" s="69" t="s">
        <v>476</v>
      </c>
      <c r="C25" s="88">
        <v>60000</v>
      </c>
      <c r="D25" s="88">
        <f>E25-C25</f>
        <v>42000</v>
      </c>
      <c r="E25" s="437">
        <v>102000</v>
      </c>
    </row>
    <row r="26" spans="1:5" ht="15.75" customHeight="1">
      <c r="A26" s="434">
        <v>630000</v>
      </c>
      <c r="B26" s="252" t="s">
        <v>307</v>
      </c>
      <c r="C26" s="56">
        <f>C27+C31</f>
        <v>396400</v>
      </c>
      <c r="D26" s="56">
        <f>D27+D31</f>
        <v>247507.09</v>
      </c>
      <c r="E26" s="58">
        <f>E27+E31</f>
        <v>643907.0900000001</v>
      </c>
    </row>
    <row r="27" spans="1:8" ht="15.75" customHeight="1">
      <c r="A27" s="434">
        <v>631000</v>
      </c>
      <c r="B27" s="258" t="s">
        <v>292</v>
      </c>
      <c r="C27" s="75">
        <f>SUM(C28:C30)</f>
        <v>79600</v>
      </c>
      <c r="D27" s="75">
        <f>SUM(D28:D30)</f>
        <v>213500</v>
      </c>
      <c r="E27" s="76">
        <f>SUM(E28:E30)</f>
        <v>293100</v>
      </c>
      <c r="H27" s="1"/>
    </row>
    <row r="28" spans="1:5" ht="15.75" customHeight="1">
      <c r="A28" s="438">
        <v>631100</v>
      </c>
      <c r="B28" s="439" t="s">
        <v>477</v>
      </c>
      <c r="C28" s="112">
        <f>Org!E426</f>
        <v>35000</v>
      </c>
      <c r="D28" s="112">
        <f>E28-C28</f>
        <v>500</v>
      </c>
      <c r="E28" s="313">
        <f>Org!G426</f>
        <v>35500</v>
      </c>
    </row>
    <row r="29" spans="1:5" ht="15.75" customHeight="1">
      <c r="A29" s="257">
        <v>631300</v>
      </c>
      <c r="B29" s="156" t="s">
        <v>388</v>
      </c>
      <c r="C29" s="62">
        <f>Org!E553</f>
        <v>39600</v>
      </c>
      <c r="D29" s="112">
        <f>E29-C29</f>
        <v>199400</v>
      </c>
      <c r="E29" s="64">
        <f>Org!G553</f>
        <v>239000</v>
      </c>
    </row>
    <row r="30" spans="1:5" ht="28.5" customHeight="1">
      <c r="A30" s="254">
        <v>631900</v>
      </c>
      <c r="B30" s="69" t="s">
        <v>335</v>
      </c>
      <c r="C30" s="88">
        <f>Org!E554</f>
        <v>5000</v>
      </c>
      <c r="D30" s="112">
        <f>E30-C30</f>
        <v>13600</v>
      </c>
      <c r="E30" s="437">
        <f>Org!G554</f>
        <v>18600</v>
      </c>
    </row>
    <row r="31" spans="1:5" ht="15.75" customHeight="1">
      <c r="A31" s="434">
        <v>638000</v>
      </c>
      <c r="B31" s="80" t="s">
        <v>326</v>
      </c>
      <c r="C31" s="74">
        <f>SUM(C32:C33)</f>
        <v>316800</v>
      </c>
      <c r="D31" s="74">
        <f>SUM(D32:D33)</f>
        <v>34007.09</v>
      </c>
      <c r="E31" s="435">
        <f>SUM(E32:E33)</f>
        <v>350807.09</v>
      </c>
    </row>
    <row r="32" spans="1:5" ht="25.5">
      <c r="A32" s="254">
        <v>638100</v>
      </c>
      <c r="B32" s="69" t="s">
        <v>298</v>
      </c>
      <c r="C32" s="88">
        <f>SUMIF(Org!$C$10:$D$554,638100,Org!E$10:E$554)</f>
        <v>312300</v>
      </c>
      <c r="D32" s="88">
        <f>E32-C32</f>
        <v>10350</v>
      </c>
      <c r="E32" s="437">
        <f>SUMIF(Org!$C$10:$D$554,638100,Org!G$10:G$554)</f>
        <v>322650</v>
      </c>
    </row>
    <row r="33" spans="1:5" ht="25.5">
      <c r="A33" s="254">
        <v>638100</v>
      </c>
      <c r="B33" s="82" t="s">
        <v>333</v>
      </c>
      <c r="C33" s="88">
        <f>Org!E556</f>
        <v>4500</v>
      </c>
      <c r="D33" s="88">
        <f>E33-C33</f>
        <v>23657.09</v>
      </c>
      <c r="E33" s="437">
        <f>Org!G556</f>
        <v>28157.09</v>
      </c>
    </row>
    <row r="34" spans="1:7" ht="18" customHeight="1">
      <c r="A34" s="434"/>
      <c r="B34" s="251" t="s">
        <v>387</v>
      </c>
      <c r="C34" s="50">
        <f>SUM(C37:C42)</f>
        <v>320000</v>
      </c>
      <c r="D34" s="50">
        <f>SUM(D37:D42)</f>
        <v>517624.48000000004</v>
      </c>
      <c r="E34" s="158">
        <f>SUM(E37:E42)</f>
        <v>837624.48</v>
      </c>
      <c r="G34" s="1"/>
    </row>
    <row r="35" spans="1:5" ht="25.5" customHeight="1" hidden="1">
      <c r="A35" s="440" t="s">
        <v>266</v>
      </c>
      <c r="B35" s="441" t="s">
        <v>360</v>
      </c>
      <c r="C35" s="255"/>
      <c r="D35" s="255"/>
      <c r="E35" s="256"/>
    </row>
    <row r="36" spans="1:5" ht="38.25" customHeight="1" hidden="1">
      <c r="A36" s="259" t="s">
        <v>266</v>
      </c>
      <c r="B36" s="82" t="s">
        <v>349</v>
      </c>
      <c r="C36" s="255"/>
      <c r="D36" s="255"/>
      <c r="E36" s="256"/>
    </row>
    <row r="37" spans="1:5" ht="15" customHeight="1">
      <c r="A37" s="259" t="s">
        <v>266</v>
      </c>
      <c r="B37" s="82" t="s">
        <v>272</v>
      </c>
      <c r="C37" s="255">
        <v>60000</v>
      </c>
      <c r="D37" s="255">
        <f aca="true" t="shared" si="0" ref="D37:D42">E37-C37</f>
        <v>0</v>
      </c>
      <c r="E37" s="256">
        <v>60000</v>
      </c>
    </row>
    <row r="38" spans="1:5" ht="26.25" customHeight="1">
      <c r="A38" s="259" t="s">
        <v>266</v>
      </c>
      <c r="B38" s="82" t="s">
        <v>273</v>
      </c>
      <c r="C38" s="255">
        <v>250000</v>
      </c>
      <c r="D38" s="255">
        <f t="shared" si="0"/>
        <v>0</v>
      </c>
      <c r="E38" s="256">
        <v>250000</v>
      </c>
    </row>
    <row r="39" spans="1:5" ht="12.75" customHeight="1">
      <c r="A39" s="259" t="s">
        <v>266</v>
      </c>
      <c r="B39" s="82" t="s">
        <v>410</v>
      </c>
      <c r="C39" s="88">
        <v>10000</v>
      </c>
      <c r="D39" s="255">
        <f t="shared" si="0"/>
        <v>0</v>
      </c>
      <c r="E39" s="437">
        <v>10000</v>
      </c>
    </row>
    <row r="40" spans="1:5" ht="48" customHeight="1">
      <c r="A40" s="259" t="s">
        <v>266</v>
      </c>
      <c r="B40" s="115" t="s">
        <v>589</v>
      </c>
      <c r="C40" s="255">
        <v>0</v>
      </c>
      <c r="D40" s="255">
        <f t="shared" si="0"/>
        <v>122304.44</v>
      </c>
      <c r="E40" s="256">
        <v>122304.44</v>
      </c>
    </row>
    <row r="41" spans="1:5" ht="42" customHeight="1">
      <c r="A41" s="259" t="s">
        <v>266</v>
      </c>
      <c r="B41" s="115" t="s">
        <v>590</v>
      </c>
      <c r="C41" s="255">
        <v>0</v>
      </c>
      <c r="D41" s="255">
        <f t="shared" si="0"/>
        <v>141925.85</v>
      </c>
      <c r="E41" s="256">
        <v>141925.85</v>
      </c>
    </row>
    <row r="42" spans="1:5" ht="51">
      <c r="A42" s="259" t="s">
        <v>266</v>
      </c>
      <c r="B42" s="115" t="s">
        <v>591</v>
      </c>
      <c r="C42" s="255">
        <v>0</v>
      </c>
      <c r="D42" s="255">
        <f t="shared" si="0"/>
        <v>253394.19</v>
      </c>
      <c r="E42" s="256">
        <v>253394.19</v>
      </c>
    </row>
    <row r="43" spans="1:5" s="5" customFormat="1" ht="24.75" customHeight="1" thickBot="1">
      <c r="A43" s="442"/>
      <c r="B43" s="443" t="s">
        <v>308</v>
      </c>
      <c r="C43" s="97">
        <f>C5+C10+C19+C34</f>
        <v>-223400</v>
      </c>
      <c r="D43" s="97">
        <f>D5+D10+D19+D34</f>
        <v>2344492.91</v>
      </c>
      <c r="E43" s="98">
        <f>E5+E10+E19+E34</f>
        <v>2121092.91</v>
      </c>
    </row>
    <row r="44" spans="1:2" ht="18" customHeight="1" thickTop="1">
      <c r="A44" s="23"/>
      <c r="B44" s="21"/>
    </row>
    <row r="45" spans="1:6" ht="18" customHeight="1">
      <c r="A45" s="23"/>
      <c r="B45" s="21"/>
      <c r="C45" s="1"/>
      <c r="D45" s="1"/>
      <c r="E45" s="1"/>
      <c r="F45" s="1"/>
    </row>
    <row r="46" spans="1:5" ht="18" customHeight="1">
      <c r="A46" s="23"/>
      <c r="B46" s="21"/>
      <c r="C46" s="1"/>
      <c r="D46" s="1"/>
      <c r="E46" s="1"/>
    </row>
    <row r="47" spans="1:5" ht="0.75" customHeight="1">
      <c r="A47" s="3"/>
      <c r="B47" s="21"/>
      <c r="C47" s="1"/>
      <c r="D47" s="1"/>
      <c r="E47" s="1"/>
    </row>
    <row r="48" spans="1:5" ht="12.75" customHeight="1" hidden="1">
      <c r="A48" s="3"/>
      <c r="B48" s="21"/>
      <c r="C48" s="1"/>
      <c r="D48" s="1"/>
      <c r="E48" s="1"/>
    </row>
    <row r="49" spans="1:5" ht="18.75" customHeight="1" hidden="1">
      <c r="A49" s="3"/>
      <c r="B49" s="319"/>
      <c r="C49" s="27"/>
      <c r="D49" s="27"/>
      <c r="E49" s="1"/>
    </row>
    <row r="50" spans="1:5" ht="16.5" customHeight="1">
      <c r="A50" s="4"/>
      <c r="B50" s="451"/>
      <c r="C50" s="1"/>
      <c r="D50" s="1"/>
      <c r="E50" s="1"/>
    </row>
    <row r="51" spans="1:5" ht="15.75" customHeight="1">
      <c r="A51" s="24"/>
      <c r="B51" s="24"/>
      <c r="C51" s="1"/>
      <c r="D51" s="1"/>
      <c r="E51" s="1"/>
    </row>
    <row r="52" spans="1:4" ht="12.75">
      <c r="A52" s="24"/>
      <c r="B52" s="24"/>
      <c r="C52" s="1"/>
      <c r="D52" s="1"/>
    </row>
    <row r="53" spans="1:4" ht="17.25" customHeight="1">
      <c r="A53" s="24"/>
      <c r="B53" s="24"/>
      <c r="C53" s="1"/>
      <c r="D53" s="1"/>
    </row>
    <row r="54" spans="1:2" ht="12.75">
      <c r="A54" s="24"/>
      <c r="B54" s="24"/>
    </row>
    <row r="55" spans="1:2" ht="12.75">
      <c r="A55" s="24"/>
      <c r="B55" s="24"/>
    </row>
    <row r="56" spans="1:2" ht="12.75">
      <c r="A56" s="24"/>
      <c r="B56" s="24"/>
    </row>
    <row r="57" spans="1:2" ht="23.25" customHeight="1">
      <c r="A57" s="24"/>
      <c r="B57" s="24"/>
    </row>
    <row r="58" spans="1:2" ht="16.5" customHeight="1">
      <c r="A58" s="24"/>
      <c r="B58" s="24"/>
    </row>
    <row r="59" spans="1:2" ht="12.75">
      <c r="A59" s="24"/>
      <c r="B59" s="24"/>
    </row>
    <row r="60" spans="1:2" ht="12.75">
      <c r="A60" s="24"/>
      <c r="B60" s="24"/>
    </row>
    <row r="61" spans="1:2" ht="15" customHeight="1">
      <c r="A61" s="24"/>
      <c r="B61" s="24"/>
    </row>
    <row r="62" spans="1:2" ht="12.75">
      <c r="A62" s="24"/>
      <c r="B62" s="24"/>
    </row>
    <row r="63" spans="1:2" ht="26.25" customHeight="1">
      <c r="A63" s="24"/>
      <c r="B63" s="24"/>
    </row>
    <row r="64" spans="1:2" ht="12.75">
      <c r="A64" s="24"/>
      <c r="B64" s="24"/>
    </row>
    <row r="65" spans="1:2" ht="12.75">
      <c r="A65" s="24"/>
      <c r="B65" s="24"/>
    </row>
    <row r="66" spans="1:2" ht="12.75">
      <c r="A66" s="24"/>
      <c r="B66" s="24"/>
    </row>
    <row r="67" spans="1:2" ht="12.75">
      <c r="A67" s="24"/>
      <c r="B67" s="24"/>
    </row>
    <row r="68" spans="1:2" ht="12.75">
      <c r="A68" s="24"/>
      <c r="B68" s="24"/>
    </row>
    <row r="69" spans="1:2" ht="12.75">
      <c r="A69" s="24"/>
      <c r="B69" s="24"/>
    </row>
    <row r="70" spans="1:2" ht="15.75" customHeight="1">
      <c r="A70" s="24"/>
      <c r="B70" s="24"/>
    </row>
    <row r="71" spans="1:2" ht="12.75">
      <c r="A71" s="24"/>
      <c r="B71" s="24"/>
    </row>
    <row r="72" spans="1:2" ht="12.75">
      <c r="A72" s="24"/>
      <c r="B72" s="24"/>
    </row>
    <row r="73" spans="1:2" ht="12.75">
      <c r="A73" s="24"/>
      <c r="B73" s="24"/>
    </row>
    <row r="74" spans="1:2" ht="12.75" customHeight="1">
      <c r="A74" s="24"/>
      <c r="B74" s="24"/>
    </row>
    <row r="75" spans="1:2" ht="12.75">
      <c r="A75" s="24"/>
      <c r="B75" s="24"/>
    </row>
    <row r="76" spans="1:2" s="22" customFormat="1" ht="11.25">
      <c r="A76" s="24"/>
      <c r="B76" s="24"/>
    </row>
    <row r="77" spans="1:2" s="22" customFormat="1" ht="11.25">
      <c r="A77" s="24"/>
      <c r="B77" s="24"/>
    </row>
    <row r="78" spans="1:2" s="22" customFormat="1" ht="11.25">
      <c r="A78" s="24"/>
      <c r="B78" s="24"/>
    </row>
    <row r="79" spans="1:2" s="22" customFormat="1" ht="11.25">
      <c r="A79" s="24"/>
      <c r="B79" s="24"/>
    </row>
    <row r="80" spans="1:2" s="22" customFormat="1" ht="11.25">
      <c r="A80" s="24"/>
      <c r="B80" s="24"/>
    </row>
    <row r="81" spans="1:2" s="22" customFormat="1" ht="11.25">
      <c r="A81" s="24"/>
      <c r="B81" s="24"/>
    </row>
    <row r="82" spans="1:2" s="22" customFormat="1" ht="11.25">
      <c r="A82" s="24"/>
      <c r="B82" s="24"/>
    </row>
    <row r="83" spans="1:2" s="22" customFormat="1" ht="11.25">
      <c r="A83" s="24"/>
      <c r="B83" s="24"/>
    </row>
    <row r="84" spans="1:2" s="22" customFormat="1" ht="11.25">
      <c r="A84" s="24"/>
      <c r="B84" s="24"/>
    </row>
    <row r="85" spans="1:2" s="22" customFormat="1" ht="11.25">
      <c r="A85" s="24"/>
      <c r="B85" s="24"/>
    </row>
    <row r="86" spans="1:2" s="22" customFormat="1" ht="11.25">
      <c r="A86" s="24"/>
      <c r="B86" s="24"/>
    </row>
    <row r="87" spans="1:2" s="22" customFormat="1" ht="11.25">
      <c r="A87" s="24"/>
      <c r="B87" s="24"/>
    </row>
    <row r="88" spans="1:2" s="22" customFormat="1" ht="11.25">
      <c r="A88" s="24"/>
      <c r="B88" s="24"/>
    </row>
    <row r="89" spans="1:2" s="22" customFormat="1" ht="11.25">
      <c r="A89" s="24"/>
      <c r="B89" s="24"/>
    </row>
    <row r="90" spans="1:2" s="22" customFormat="1" ht="11.25">
      <c r="A90" s="24"/>
      <c r="B90" s="24"/>
    </row>
    <row r="91" spans="1:2" s="22" customFormat="1" ht="11.25">
      <c r="A91" s="24"/>
      <c r="B91" s="24"/>
    </row>
    <row r="92" spans="1:2" s="22" customFormat="1" ht="11.25">
      <c r="A92" s="24"/>
      <c r="B92" s="24"/>
    </row>
    <row r="93" spans="1:2" s="22" customFormat="1" ht="11.25">
      <c r="A93" s="24"/>
      <c r="B93" s="24"/>
    </row>
    <row r="94" spans="1:2" s="22" customFormat="1" ht="11.25">
      <c r="A94" s="24"/>
      <c r="B94" s="24"/>
    </row>
    <row r="95" spans="1:2" s="22" customFormat="1" ht="11.25">
      <c r="A95" s="24"/>
      <c r="B95" s="24"/>
    </row>
    <row r="96" spans="1:2" s="22" customFormat="1" ht="11.25">
      <c r="A96" s="24"/>
      <c r="B96" s="24"/>
    </row>
    <row r="97" spans="1:2" s="22" customFormat="1" ht="11.25">
      <c r="A97" s="24"/>
      <c r="B97" s="24"/>
    </row>
    <row r="98" spans="1:2" s="22" customFormat="1" ht="11.25">
      <c r="A98" s="24"/>
      <c r="B98" s="24"/>
    </row>
    <row r="99" spans="1:2" s="22" customFormat="1" ht="11.25">
      <c r="A99" s="24"/>
      <c r="B99" s="24"/>
    </row>
    <row r="100" spans="1:2" s="22" customFormat="1" ht="11.25">
      <c r="A100" s="24"/>
      <c r="B100" s="24"/>
    </row>
    <row r="101" spans="1:2" s="22" customFormat="1" ht="11.25">
      <c r="A101" s="24"/>
      <c r="B101" s="24"/>
    </row>
    <row r="102" spans="1:2" s="22" customFormat="1" ht="11.25">
      <c r="A102" s="24"/>
      <c r="B102" s="24"/>
    </row>
    <row r="103" spans="1:2" s="22" customFormat="1" ht="11.25">
      <c r="A103" s="24"/>
      <c r="B103" s="24"/>
    </row>
    <row r="104" spans="1:2" s="22" customFormat="1" ht="11.25">
      <c r="A104" s="24"/>
      <c r="B104" s="24"/>
    </row>
    <row r="105" spans="1:2" s="22" customFormat="1" ht="11.25">
      <c r="A105" s="24"/>
      <c r="B105" s="24"/>
    </row>
    <row r="106" spans="1:2" s="22" customFormat="1" ht="11.25">
      <c r="A106" s="24"/>
      <c r="B106" s="24"/>
    </row>
    <row r="107" spans="1:2" s="22" customFormat="1" ht="11.25">
      <c r="A107" s="24"/>
      <c r="B107" s="24"/>
    </row>
    <row r="108" spans="1:2" ht="12.75">
      <c r="A108" s="24"/>
      <c r="B108" s="24"/>
    </row>
    <row r="109" spans="1:2" ht="12.75">
      <c r="A109" s="24"/>
      <c r="B109" s="24"/>
    </row>
    <row r="110" spans="1:2" ht="12.75">
      <c r="A110" s="24"/>
      <c r="B110" s="24"/>
    </row>
    <row r="111" spans="1:2" ht="12.75">
      <c r="A111" s="24"/>
      <c r="B111" s="24"/>
    </row>
    <row r="112" spans="1:2" ht="12.75">
      <c r="A112" s="24"/>
      <c r="B112" s="24"/>
    </row>
    <row r="113" spans="1:2" ht="12.75">
      <c r="A113" s="24"/>
      <c r="B113" s="24"/>
    </row>
    <row r="114" spans="1:2" ht="12.75">
      <c r="A114" s="24"/>
      <c r="B114" s="24"/>
    </row>
    <row r="115" spans="1:2" ht="12.75">
      <c r="A115" s="24"/>
      <c r="B115" s="24"/>
    </row>
    <row r="116" spans="1:2" ht="12.75">
      <c r="A116" s="24"/>
      <c r="B116" s="24"/>
    </row>
    <row r="117" spans="1:2" ht="12.75">
      <c r="A117" s="24"/>
      <c r="B117" s="24"/>
    </row>
    <row r="118" spans="1:2" ht="12.75">
      <c r="A118" s="24"/>
      <c r="B118" s="24"/>
    </row>
    <row r="119" spans="1:2" ht="12.75">
      <c r="A119" s="24"/>
      <c r="B119" s="3"/>
    </row>
    <row r="120" spans="1:2" ht="12.75">
      <c r="A120" s="4"/>
      <c r="B120" s="3"/>
    </row>
    <row r="121" spans="1:2" ht="12.75">
      <c r="A121" s="4"/>
      <c r="B121" s="3"/>
    </row>
    <row r="122" spans="1:2" ht="12.75">
      <c r="A122" s="4"/>
      <c r="B122" s="3"/>
    </row>
    <row r="123" spans="1:2" ht="12.75">
      <c r="A123" s="4"/>
      <c r="B123" s="3"/>
    </row>
    <row r="124" spans="1:2" ht="12.75">
      <c r="A124" s="4"/>
      <c r="B124" s="3"/>
    </row>
    <row r="125" spans="1:2" ht="12.75">
      <c r="A125" s="4"/>
      <c r="B125" s="3"/>
    </row>
    <row r="126" spans="1:2" ht="12.75">
      <c r="A126" s="4"/>
      <c r="B126" s="3"/>
    </row>
    <row r="127" spans="1:2" ht="12.75">
      <c r="A127" s="4"/>
      <c r="B127" s="3"/>
    </row>
    <row r="128" spans="1:2" ht="12.75">
      <c r="A128" s="4"/>
      <c r="B128" s="3"/>
    </row>
    <row r="129" spans="1:2" ht="12.75">
      <c r="A129" s="4"/>
      <c r="B129" s="3"/>
    </row>
    <row r="130" spans="1:2" ht="12.75">
      <c r="A130" s="4"/>
      <c r="B130" s="3"/>
    </row>
    <row r="131" spans="1:2" s="22" customFormat="1" ht="12.75">
      <c r="A131" s="4"/>
      <c r="B131" s="3"/>
    </row>
    <row r="132" spans="1:2" s="22" customFormat="1" ht="12.75">
      <c r="A132" s="4"/>
      <c r="B132" s="3"/>
    </row>
    <row r="133" spans="1:2" s="22" customFormat="1" ht="12.75">
      <c r="A133" s="4"/>
      <c r="B133" s="3"/>
    </row>
    <row r="134" spans="1:2" s="22" customFormat="1" ht="12.75">
      <c r="A134" s="4"/>
      <c r="B134" s="3"/>
    </row>
    <row r="135" spans="1:2" s="22" customFormat="1" ht="12.75">
      <c r="A135" s="4"/>
      <c r="B135" s="3"/>
    </row>
    <row r="136" spans="1:2" s="22" customFormat="1" ht="12.75">
      <c r="A136" s="4"/>
      <c r="B136" s="3"/>
    </row>
    <row r="137" spans="1:2" s="22" customFormat="1" ht="12.75">
      <c r="A137" s="4"/>
      <c r="B137" s="3"/>
    </row>
    <row r="138" spans="1:2" s="22" customFormat="1" ht="12.75">
      <c r="A138" s="4"/>
      <c r="B138" s="3"/>
    </row>
    <row r="139" spans="1:2" s="22" customFormat="1" ht="12.75">
      <c r="A139" s="4"/>
      <c r="B139" s="3"/>
    </row>
    <row r="140" spans="1:2" s="22" customFormat="1" ht="12.75">
      <c r="A140" s="4"/>
      <c r="B140" s="3"/>
    </row>
    <row r="141" spans="1:2" s="22" customFormat="1" ht="12.75">
      <c r="A141" s="4"/>
      <c r="B141" s="3"/>
    </row>
    <row r="142" spans="1:2" s="22" customFormat="1" ht="12.75">
      <c r="A142" s="4"/>
      <c r="B142" s="3"/>
    </row>
    <row r="143" spans="1:2" s="22" customFormat="1" ht="12.75">
      <c r="A143" s="4"/>
      <c r="B143" s="3"/>
    </row>
    <row r="144" spans="1:2" s="22" customFormat="1" ht="12.75">
      <c r="A144" s="4"/>
      <c r="B144" s="3"/>
    </row>
    <row r="145" spans="1:2" s="22" customFormat="1" ht="12.75">
      <c r="A145" s="4"/>
      <c r="B145"/>
    </row>
  </sheetData>
  <sheetProtection/>
  <mergeCells count="6">
    <mergeCell ref="E2:E3"/>
    <mergeCell ref="A1:C1"/>
    <mergeCell ref="C2:C3"/>
    <mergeCell ref="A2:A3"/>
    <mergeCell ref="B2:B3"/>
    <mergeCell ref="D2:D3"/>
  </mergeCells>
  <printOptions horizontalCentered="1"/>
  <pageMargins left="0.15748031496062992" right="0.15748031496062992" top="0.4330708661417323" bottom="0.4724409448818898" header="0.2755905511811024" footer="0.2362204724409449"/>
  <pageSetup horizontalDpi="600" verticalDpi="600" orientation="landscape" paperSize="9" scale="105" r:id="rId1"/>
  <headerFooter alignWithMargins="0">
    <oddFooter>&amp;R&amp;P</oddFooter>
  </headerFooter>
  <rowBreaks count="1" manualBreakCount="1">
    <brk id="2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66"/>
  <sheetViews>
    <sheetView view="pageBreakPreview" zoomScaleNormal="98" zoomScaleSheetLayoutView="100" zoomScalePageLayoutView="0" workbookViewId="0" topLeftCell="A1">
      <pane xSplit="4" ySplit="4" topLeftCell="E54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357" sqref="L357"/>
    </sheetView>
  </sheetViews>
  <sheetFormatPr defaultColWidth="9.140625" defaultRowHeight="12.75"/>
  <cols>
    <col min="1" max="1" width="6.8515625" style="0" customWidth="1"/>
    <col min="2" max="2" width="10.00390625" style="0" customWidth="1"/>
    <col min="3" max="3" width="8.28125" style="0" customWidth="1"/>
    <col min="4" max="4" width="60.8515625" style="0" customWidth="1"/>
    <col min="5" max="7" width="13.7109375" style="0" customWidth="1"/>
    <col min="8" max="9" width="8.7109375" style="0" customWidth="1"/>
    <col min="10" max="10" width="7.28125" style="0" customWidth="1"/>
    <col min="11" max="11" width="33.28125" style="0" customWidth="1"/>
    <col min="12" max="12" width="10.140625" style="0" bestFit="1" customWidth="1"/>
    <col min="13" max="13" width="16.00390625" style="0" customWidth="1"/>
    <col min="14" max="14" width="10.7109375" style="0" bestFit="1" customWidth="1"/>
  </cols>
  <sheetData>
    <row r="1" spans="1:10" ht="36" customHeight="1" thickBot="1">
      <c r="A1" s="517" t="s">
        <v>564</v>
      </c>
      <c r="B1" s="517"/>
      <c r="C1" s="517"/>
      <c r="D1" s="517"/>
      <c r="E1" s="517"/>
      <c r="F1" s="517"/>
      <c r="G1" s="517"/>
      <c r="H1" s="517"/>
      <c r="I1" s="517"/>
      <c r="J1" s="6"/>
    </row>
    <row r="2" spans="1:10" ht="21" customHeight="1" thickTop="1">
      <c r="A2" s="465" t="s">
        <v>190</v>
      </c>
      <c r="B2" s="467" t="s">
        <v>3</v>
      </c>
      <c r="C2" s="518"/>
      <c r="D2" s="467" t="s">
        <v>191</v>
      </c>
      <c r="E2" s="477" t="s">
        <v>538</v>
      </c>
      <c r="F2" s="477" t="s">
        <v>559</v>
      </c>
      <c r="G2" s="477" t="s">
        <v>651</v>
      </c>
      <c r="H2" s="515" t="s">
        <v>104</v>
      </c>
      <c r="I2" s="519" t="s">
        <v>429</v>
      </c>
      <c r="J2" s="6"/>
    </row>
    <row r="3" spans="1:10" ht="39.75" customHeight="1">
      <c r="A3" s="466"/>
      <c r="B3" s="123" t="s">
        <v>395</v>
      </c>
      <c r="C3" s="405" t="s">
        <v>20</v>
      </c>
      <c r="D3" s="468"/>
      <c r="E3" s="478"/>
      <c r="F3" s="478"/>
      <c r="G3" s="478"/>
      <c r="H3" s="516"/>
      <c r="I3" s="520"/>
      <c r="J3" s="39"/>
    </row>
    <row r="4" spans="1:10" ht="9.75" customHeight="1">
      <c r="A4" s="124">
        <v>1</v>
      </c>
      <c r="B4" s="100">
        <v>2</v>
      </c>
      <c r="C4" s="100">
        <v>3</v>
      </c>
      <c r="D4" s="408">
        <v>4</v>
      </c>
      <c r="E4" s="125">
        <v>5</v>
      </c>
      <c r="F4" s="125" t="s">
        <v>565</v>
      </c>
      <c r="G4" s="125">
        <v>7</v>
      </c>
      <c r="H4" s="125" t="s">
        <v>566</v>
      </c>
      <c r="I4" s="101">
        <v>9</v>
      </c>
      <c r="J4" s="6"/>
    </row>
    <row r="5" spans="1:10" ht="9.75" customHeight="1">
      <c r="A5" s="505"/>
      <c r="B5" s="506"/>
      <c r="C5" s="494" t="s">
        <v>574</v>
      </c>
      <c r="D5" s="494"/>
      <c r="E5" s="127"/>
      <c r="F5" s="127"/>
      <c r="G5" s="127"/>
      <c r="H5" s="127"/>
      <c r="I5" s="128"/>
      <c r="J5" s="6"/>
    </row>
    <row r="6" spans="1:10" ht="9.75" customHeight="1">
      <c r="A6" s="505"/>
      <c r="B6" s="506"/>
      <c r="C6" s="494"/>
      <c r="D6" s="494"/>
      <c r="E6" s="129"/>
      <c r="F6" s="129"/>
      <c r="G6" s="129"/>
      <c r="H6" s="129"/>
      <c r="I6" s="130"/>
      <c r="J6" s="6"/>
    </row>
    <row r="7" spans="1:10" ht="20.25" customHeight="1">
      <c r="A7" s="505"/>
      <c r="B7" s="506"/>
      <c r="C7" s="494"/>
      <c r="D7" s="494"/>
      <c r="E7" s="131"/>
      <c r="F7" s="131"/>
      <c r="G7" s="131"/>
      <c r="H7" s="131"/>
      <c r="I7" s="132"/>
      <c r="J7" s="6"/>
    </row>
    <row r="8" spans="1:10" ht="15" customHeight="1">
      <c r="A8" s="119"/>
      <c r="B8" s="47">
        <v>411000</v>
      </c>
      <c r="C8" s="60"/>
      <c r="D8" s="133" t="s">
        <v>113</v>
      </c>
      <c r="E8" s="134">
        <f>SUM(E9)</f>
        <v>2000</v>
      </c>
      <c r="F8" s="134">
        <f>SUM(F9)</f>
        <v>500</v>
      </c>
      <c r="G8" s="134">
        <f>SUM(G9)</f>
        <v>2500</v>
      </c>
      <c r="H8" s="135">
        <f aca="true" t="shared" si="0" ref="H8:H19">G8/E8*100</f>
        <v>125</v>
      </c>
      <c r="I8" s="136">
        <f aca="true" t="shared" si="1" ref="I8:I19">G8/$G$562*100</f>
        <v>0.007961783439490446</v>
      </c>
      <c r="J8" s="410"/>
    </row>
    <row r="9" spans="1:10" ht="13.5" customHeight="1">
      <c r="A9" s="119" t="s">
        <v>21</v>
      </c>
      <c r="B9" s="93"/>
      <c r="C9" s="137">
        <v>411200</v>
      </c>
      <c r="D9" s="69" t="s">
        <v>312</v>
      </c>
      <c r="E9" s="303">
        <v>2000</v>
      </c>
      <c r="F9" s="303">
        <f>G9-E9</f>
        <v>500</v>
      </c>
      <c r="G9" s="303">
        <v>2500</v>
      </c>
      <c r="H9" s="138">
        <f t="shared" si="0"/>
        <v>125</v>
      </c>
      <c r="I9" s="205">
        <f t="shared" si="1"/>
        <v>0.007961783439490446</v>
      </c>
      <c r="J9" s="6"/>
    </row>
    <row r="10" spans="1:10" ht="14.25" customHeight="1">
      <c r="A10" s="119"/>
      <c r="B10" s="47">
        <v>412000</v>
      </c>
      <c r="C10" s="60"/>
      <c r="D10" s="133" t="s">
        <v>114</v>
      </c>
      <c r="E10" s="139">
        <f>SUM(E11:E16)</f>
        <v>309500</v>
      </c>
      <c r="F10" s="139">
        <f>SUM(F11:F16)</f>
        <v>4500</v>
      </c>
      <c r="G10" s="139">
        <f>SUM(G11:G16)</f>
        <v>314000</v>
      </c>
      <c r="H10" s="135">
        <f t="shared" si="0"/>
        <v>101.45395799676898</v>
      </c>
      <c r="I10" s="136">
        <f t="shared" si="1"/>
        <v>1</v>
      </c>
      <c r="J10" s="410"/>
    </row>
    <row r="11" spans="1:10" ht="12.75" customHeight="1">
      <c r="A11" s="119" t="s">
        <v>21</v>
      </c>
      <c r="B11" s="42"/>
      <c r="C11" s="60">
        <v>412900</v>
      </c>
      <c r="D11" s="82" t="s">
        <v>0</v>
      </c>
      <c r="E11" s="186">
        <v>10000</v>
      </c>
      <c r="F11" s="186">
        <f aca="true" t="shared" si="2" ref="F11:F16">G11-E11</f>
        <v>2100</v>
      </c>
      <c r="G11" s="186">
        <v>12100</v>
      </c>
      <c r="H11" s="138">
        <f t="shared" si="0"/>
        <v>121</v>
      </c>
      <c r="I11" s="205">
        <f t="shared" si="1"/>
        <v>0.038535031847133756</v>
      </c>
      <c r="J11" s="9"/>
    </row>
    <row r="12" spans="1:10" ht="12.75" customHeight="1">
      <c r="A12" s="119" t="s">
        <v>21</v>
      </c>
      <c r="B12" s="42"/>
      <c r="C12" s="60">
        <v>412900</v>
      </c>
      <c r="D12" s="82" t="s">
        <v>575</v>
      </c>
      <c r="E12" s="144">
        <v>8500</v>
      </c>
      <c r="F12" s="186">
        <f t="shared" si="2"/>
        <v>-6600</v>
      </c>
      <c r="G12" s="144">
        <v>1900</v>
      </c>
      <c r="H12" s="138">
        <f t="shared" si="0"/>
        <v>22.35294117647059</v>
      </c>
      <c r="I12" s="205">
        <f t="shared" si="1"/>
        <v>0.006050955414012738</v>
      </c>
      <c r="J12" s="9"/>
    </row>
    <row r="13" spans="1:10" ht="12.75" customHeight="1">
      <c r="A13" s="121" t="s">
        <v>21</v>
      </c>
      <c r="B13" s="42"/>
      <c r="C13" s="90">
        <v>412900</v>
      </c>
      <c r="D13" s="87" t="s">
        <v>625</v>
      </c>
      <c r="E13" s="144">
        <v>270000</v>
      </c>
      <c r="F13" s="186">
        <f t="shared" si="2"/>
        <v>5000</v>
      </c>
      <c r="G13" s="144">
        <v>275000</v>
      </c>
      <c r="H13" s="138">
        <f t="shared" si="0"/>
        <v>101.85185185185186</v>
      </c>
      <c r="I13" s="205">
        <f t="shared" si="1"/>
        <v>0.8757961783439491</v>
      </c>
      <c r="J13" s="9"/>
    </row>
    <row r="14" spans="1:10" ht="12.75" customHeight="1">
      <c r="A14" s="121" t="s">
        <v>21</v>
      </c>
      <c r="B14" s="42"/>
      <c r="C14" s="90">
        <v>412900</v>
      </c>
      <c r="D14" s="87" t="s">
        <v>172</v>
      </c>
      <c r="E14" s="144">
        <v>4000</v>
      </c>
      <c r="F14" s="186">
        <f t="shared" si="2"/>
        <v>0</v>
      </c>
      <c r="G14" s="144">
        <v>4000</v>
      </c>
      <c r="H14" s="138">
        <f t="shared" si="0"/>
        <v>100</v>
      </c>
      <c r="I14" s="205">
        <f t="shared" si="1"/>
        <v>0.012738853503184712</v>
      </c>
      <c r="J14" s="9"/>
    </row>
    <row r="15" spans="1:10" ht="12.75" customHeight="1">
      <c r="A15" s="121" t="s">
        <v>23</v>
      </c>
      <c r="B15" s="42"/>
      <c r="C15" s="90">
        <v>412900</v>
      </c>
      <c r="D15" s="87" t="s">
        <v>576</v>
      </c>
      <c r="E15" s="142">
        <v>15000</v>
      </c>
      <c r="F15" s="186">
        <f t="shared" si="2"/>
        <v>680</v>
      </c>
      <c r="G15" s="142">
        <v>15680</v>
      </c>
      <c r="H15" s="138">
        <f t="shared" si="0"/>
        <v>104.53333333333332</v>
      </c>
      <c r="I15" s="205">
        <f t="shared" si="1"/>
        <v>0.04993630573248408</v>
      </c>
      <c r="J15" s="9"/>
    </row>
    <row r="16" spans="1:10" ht="12.75" customHeight="1">
      <c r="A16" s="121" t="s">
        <v>21</v>
      </c>
      <c r="B16" s="42"/>
      <c r="C16" s="90">
        <v>412900</v>
      </c>
      <c r="D16" s="87" t="s">
        <v>123</v>
      </c>
      <c r="E16" s="138">
        <v>2000</v>
      </c>
      <c r="F16" s="186">
        <f t="shared" si="2"/>
        <v>3320</v>
      </c>
      <c r="G16" s="138">
        <v>5320</v>
      </c>
      <c r="H16" s="138">
        <f t="shared" si="0"/>
        <v>266</v>
      </c>
      <c r="I16" s="205">
        <f t="shared" si="1"/>
        <v>0.016942675159235667</v>
      </c>
      <c r="J16" s="9"/>
    </row>
    <row r="17" spans="1:10" ht="14.25" customHeight="1">
      <c r="A17" s="119"/>
      <c r="B17" s="47">
        <v>415000</v>
      </c>
      <c r="C17" s="60"/>
      <c r="D17" s="145" t="s">
        <v>128</v>
      </c>
      <c r="E17" s="139">
        <f>SUM(E18:E18)</f>
        <v>34000</v>
      </c>
      <c r="F17" s="139">
        <f>SUM(F18:F18)</f>
        <v>0</v>
      </c>
      <c r="G17" s="139">
        <f>SUM(G18:G18)</f>
        <v>34000</v>
      </c>
      <c r="H17" s="135">
        <f t="shared" si="0"/>
        <v>100</v>
      </c>
      <c r="I17" s="136">
        <f t="shared" si="1"/>
        <v>0.10828025477707007</v>
      </c>
      <c r="J17" s="9"/>
    </row>
    <row r="18" spans="1:10" ht="12" customHeight="1">
      <c r="A18" s="119" t="s">
        <v>23</v>
      </c>
      <c r="B18" s="42"/>
      <c r="C18" s="60">
        <v>415200</v>
      </c>
      <c r="D18" s="82" t="s">
        <v>195</v>
      </c>
      <c r="E18" s="144">
        <v>34000</v>
      </c>
      <c r="F18" s="144">
        <f>G18-E18</f>
        <v>0</v>
      </c>
      <c r="G18" s="144">
        <v>34000</v>
      </c>
      <c r="H18" s="138">
        <f t="shared" si="0"/>
        <v>100</v>
      </c>
      <c r="I18" s="205">
        <f t="shared" si="1"/>
        <v>0.10828025477707007</v>
      </c>
      <c r="J18" s="9"/>
    </row>
    <row r="19" spans="1:10" ht="24.75" customHeight="1">
      <c r="A19" s="505"/>
      <c r="B19" s="506"/>
      <c r="C19" s="491" t="s">
        <v>75</v>
      </c>
      <c r="D19" s="491"/>
      <c r="E19" s="146">
        <f>E8+E10+E17</f>
        <v>345500</v>
      </c>
      <c r="F19" s="146">
        <f>F8+F10+F17</f>
        <v>5000</v>
      </c>
      <c r="G19" s="146">
        <f>G8+G10+G17</f>
        <v>350500</v>
      </c>
      <c r="H19" s="354">
        <f t="shared" si="0"/>
        <v>101.44717800289436</v>
      </c>
      <c r="I19" s="385">
        <f t="shared" si="1"/>
        <v>1.1162420382165605</v>
      </c>
      <c r="J19" s="9"/>
    </row>
    <row r="20" spans="1:10" ht="9.75" customHeight="1">
      <c r="A20" s="505"/>
      <c r="B20" s="506"/>
      <c r="C20" s="494" t="s">
        <v>577</v>
      </c>
      <c r="D20" s="494"/>
      <c r="E20" s="148"/>
      <c r="F20" s="148"/>
      <c r="G20" s="148"/>
      <c r="H20" s="148"/>
      <c r="I20" s="149"/>
      <c r="J20" s="9"/>
    </row>
    <row r="21" spans="1:10" ht="9.75" customHeight="1">
      <c r="A21" s="505"/>
      <c r="B21" s="506"/>
      <c r="C21" s="494"/>
      <c r="D21" s="494"/>
      <c r="E21" s="150"/>
      <c r="F21" s="150"/>
      <c r="G21" s="150"/>
      <c r="H21" s="150"/>
      <c r="I21" s="151"/>
      <c r="J21" s="9"/>
    </row>
    <row r="22" spans="1:10" ht="20.25" customHeight="1">
      <c r="A22" s="505"/>
      <c r="B22" s="506"/>
      <c r="C22" s="494"/>
      <c r="D22" s="494"/>
      <c r="E22" s="152"/>
      <c r="F22" s="152"/>
      <c r="G22" s="152"/>
      <c r="H22" s="152"/>
      <c r="I22" s="153"/>
      <c r="J22" s="9"/>
    </row>
    <row r="23" spans="1:10" ht="15" customHeight="1">
      <c r="A23" s="119"/>
      <c r="B23" s="47">
        <v>411000</v>
      </c>
      <c r="C23" s="60"/>
      <c r="D23" s="133" t="s">
        <v>113</v>
      </c>
      <c r="E23" s="134">
        <f>SUM(E24)</f>
        <v>2000</v>
      </c>
      <c r="F23" s="134">
        <f>SUM(F24)</f>
        <v>0</v>
      </c>
      <c r="G23" s="134">
        <f>SUM(G24)</f>
        <v>2000</v>
      </c>
      <c r="H23" s="134">
        <f aca="true" t="shared" si="3" ref="H23:H39">G23/E23*100</f>
        <v>100</v>
      </c>
      <c r="I23" s="136">
        <f aca="true" t="shared" si="4" ref="I23:I34">G23/$G$562*100</f>
        <v>0.006369426751592356</v>
      </c>
      <c r="J23" s="9"/>
    </row>
    <row r="24" spans="1:10" ht="12.75">
      <c r="A24" s="119" t="s">
        <v>21</v>
      </c>
      <c r="B24" s="93"/>
      <c r="C24" s="137">
        <v>411200</v>
      </c>
      <c r="D24" s="69" t="s">
        <v>312</v>
      </c>
      <c r="E24" s="154">
        <v>2000</v>
      </c>
      <c r="F24" s="154">
        <f>G24-E24</f>
        <v>0</v>
      </c>
      <c r="G24" s="154">
        <v>2000</v>
      </c>
      <c r="H24" s="155">
        <f t="shared" si="3"/>
        <v>100</v>
      </c>
      <c r="I24" s="205">
        <f t="shared" si="4"/>
        <v>0.006369426751592356</v>
      </c>
      <c r="J24" s="9"/>
    </row>
    <row r="25" spans="1:10" ht="12" customHeight="1">
      <c r="A25" s="119"/>
      <c r="B25" s="47">
        <v>412000</v>
      </c>
      <c r="C25" s="60"/>
      <c r="D25" s="133" t="s">
        <v>114</v>
      </c>
      <c r="E25" s="139">
        <f>SUM(E26:E36)</f>
        <v>86000</v>
      </c>
      <c r="F25" s="139">
        <f>SUM(F26:F36)</f>
        <v>17600</v>
      </c>
      <c r="G25" s="139">
        <f>SUM(G26:G36)</f>
        <v>103600</v>
      </c>
      <c r="H25" s="134">
        <f t="shared" si="3"/>
        <v>120.46511627906978</v>
      </c>
      <c r="I25" s="136">
        <f t="shared" si="4"/>
        <v>0.32993630573248406</v>
      </c>
      <c r="J25" s="9"/>
    </row>
    <row r="26" spans="1:10" ht="12.75" customHeight="1">
      <c r="A26" s="119" t="s">
        <v>21</v>
      </c>
      <c r="B26" s="122"/>
      <c r="C26" s="60">
        <v>412900</v>
      </c>
      <c r="D26" s="82" t="s">
        <v>0</v>
      </c>
      <c r="E26" s="144">
        <v>17000</v>
      </c>
      <c r="F26" s="144">
        <f>G26-E26</f>
        <v>3000</v>
      </c>
      <c r="G26" s="144">
        <v>20000</v>
      </c>
      <c r="H26" s="155">
        <f t="shared" si="3"/>
        <v>117.64705882352942</v>
      </c>
      <c r="I26" s="205">
        <f t="shared" si="4"/>
        <v>0.06369426751592357</v>
      </c>
      <c r="J26" s="9"/>
    </row>
    <row r="27" spans="1:10" ht="12.75" customHeight="1" hidden="1">
      <c r="A27" s="119" t="s">
        <v>21</v>
      </c>
      <c r="B27" s="122"/>
      <c r="C27" s="60">
        <v>412900</v>
      </c>
      <c r="D27" s="82" t="s">
        <v>413</v>
      </c>
      <c r="E27" s="144"/>
      <c r="F27" s="144">
        <f aca="true" t="shared" si="5" ref="F27:F36">G27-E27</f>
        <v>0</v>
      </c>
      <c r="G27" s="144"/>
      <c r="H27" s="155" t="e">
        <f t="shared" si="3"/>
        <v>#DIV/0!</v>
      </c>
      <c r="I27" s="205">
        <f t="shared" si="4"/>
        <v>0</v>
      </c>
      <c r="J27" s="9"/>
    </row>
    <row r="28" spans="1:9" ht="12.75" customHeight="1">
      <c r="A28" s="119" t="s">
        <v>21</v>
      </c>
      <c r="B28" s="122"/>
      <c r="C28" s="90">
        <v>412900</v>
      </c>
      <c r="D28" s="87" t="s">
        <v>89</v>
      </c>
      <c r="E28" s="144">
        <v>6200</v>
      </c>
      <c r="F28" s="144">
        <f t="shared" si="5"/>
        <v>0</v>
      </c>
      <c r="G28" s="144">
        <v>6200</v>
      </c>
      <c r="H28" s="155">
        <f t="shared" si="3"/>
        <v>100</v>
      </c>
      <c r="I28" s="205">
        <f t="shared" si="4"/>
        <v>0.019745222929936305</v>
      </c>
    </row>
    <row r="29" spans="1:10" ht="12.75" customHeight="1" hidden="1">
      <c r="A29" s="119" t="s">
        <v>21</v>
      </c>
      <c r="B29" s="47"/>
      <c r="C29" s="71">
        <v>412900</v>
      </c>
      <c r="D29" s="156" t="s">
        <v>177</v>
      </c>
      <c r="E29" s="144"/>
      <c r="F29" s="144">
        <f t="shared" si="5"/>
        <v>0</v>
      </c>
      <c r="G29" s="144"/>
      <c r="H29" s="155" t="e">
        <f t="shared" si="3"/>
        <v>#DIV/0!</v>
      </c>
      <c r="I29" s="205">
        <f t="shared" si="4"/>
        <v>0</v>
      </c>
      <c r="J29" s="6"/>
    </row>
    <row r="30" spans="1:10" ht="12" customHeight="1">
      <c r="A30" s="121" t="s">
        <v>21</v>
      </c>
      <c r="B30" s="122"/>
      <c r="C30" s="71">
        <v>412900</v>
      </c>
      <c r="D30" s="87" t="s">
        <v>221</v>
      </c>
      <c r="E30" s="144">
        <v>10000</v>
      </c>
      <c r="F30" s="144">
        <f t="shared" si="5"/>
        <v>0</v>
      </c>
      <c r="G30" s="144">
        <v>10000</v>
      </c>
      <c r="H30" s="155">
        <f t="shared" si="3"/>
        <v>100</v>
      </c>
      <c r="I30" s="205">
        <f t="shared" si="4"/>
        <v>0.03184713375796178</v>
      </c>
      <c r="J30" s="6"/>
    </row>
    <row r="31" spans="1:10" ht="1.5" customHeight="1" hidden="1">
      <c r="A31" s="121" t="s">
        <v>21</v>
      </c>
      <c r="B31" s="122"/>
      <c r="C31" s="71">
        <v>412900</v>
      </c>
      <c r="D31" s="87" t="s">
        <v>123</v>
      </c>
      <c r="E31" s="144"/>
      <c r="F31" s="144">
        <f t="shared" si="5"/>
        <v>0</v>
      </c>
      <c r="G31" s="144"/>
      <c r="H31" s="155" t="e">
        <f t="shared" si="3"/>
        <v>#DIV/0!</v>
      </c>
      <c r="I31" s="205">
        <f t="shared" si="4"/>
        <v>0</v>
      </c>
      <c r="J31" s="6"/>
    </row>
    <row r="32" spans="1:10" ht="12.75">
      <c r="A32" s="121" t="s">
        <v>21</v>
      </c>
      <c r="B32" s="122"/>
      <c r="C32" s="71">
        <v>412900</v>
      </c>
      <c r="D32" s="87" t="s">
        <v>578</v>
      </c>
      <c r="E32" s="144">
        <v>2500</v>
      </c>
      <c r="F32" s="144">
        <f t="shared" si="5"/>
        <v>0</v>
      </c>
      <c r="G32" s="144">
        <v>2500</v>
      </c>
      <c r="H32" s="155">
        <f t="shared" si="3"/>
        <v>100</v>
      </c>
      <c r="I32" s="205">
        <f t="shared" si="4"/>
        <v>0.007961783439490446</v>
      </c>
      <c r="J32" s="6"/>
    </row>
    <row r="33" spans="1:10" ht="12.75" customHeight="1">
      <c r="A33" s="121" t="s">
        <v>21</v>
      </c>
      <c r="B33" s="122"/>
      <c r="C33" s="71">
        <v>412900</v>
      </c>
      <c r="D33" s="87" t="s">
        <v>579</v>
      </c>
      <c r="E33" s="142">
        <v>0</v>
      </c>
      <c r="F33" s="144">
        <f t="shared" si="5"/>
        <v>600</v>
      </c>
      <c r="G33" s="142">
        <v>600</v>
      </c>
      <c r="H33" s="155" t="e">
        <f t="shared" si="3"/>
        <v>#DIV/0!</v>
      </c>
      <c r="I33" s="205">
        <f t="shared" si="4"/>
        <v>0.0019108280254777072</v>
      </c>
      <c r="J33" s="6"/>
    </row>
    <row r="34" spans="1:10" ht="12.75" customHeight="1">
      <c r="A34" s="121" t="s">
        <v>21</v>
      </c>
      <c r="B34" s="122"/>
      <c r="C34" s="71">
        <v>412900</v>
      </c>
      <c r="D34" s="87" t="s">
        <v>358</v>
      </c>
      <c r="E34" s="144">
        <v>50000</v>
      </c>
      <c r="F34" s="144">
        <f t="shared" si="5"/>
        <v>10000</v>
      </c>
      <c r="G34" s="144">
        <v>60000</v>
      </c>
      <c r="H34" s="155">
        <f t="shared" si="3"/>
        <v>120</v>
      </c>
      <c r="I34" s="205">
        <f t="shared" si="4"/>
        <v>0.1910828025477707</v>
      </c>
      <c r="J34" s="6"/>
    </row>
    <row r="35" spans="1:10" ht="13.5" customHeight="1">
      <c r="A35" s="121" t="s">
        <v>21</v>
      </c>
      <c r="B35" s="122"/>
      <c r="C35" s="71">
        <v>412900</v>
      </c>
      <c r="D35" s="87" t="s">
        <v>431</v>
      </c>
      <c r="E35" s="144">
        <v>300</v>
      </c>
      <c r="F35" s="144">
        <f t="shared" si="5"/>
        <v>0</v>
      </c>
      <c r="G35" s="144">
        <v>300</v>
      </c>
      <c r="H35" s="155">
        <f t="shared" si="3"/>
        <v>100</v>
      </c>
      <c r="I35" s="205">
        <f>H35*1.1</f>
        <v>110.00000000000001</v>
      </c>
      <c r="J35" s="6"/>
    </row>
    <row r="36" spans="1:10" ht="13.5" customHeight="1">
      <c r="A36" s="121" t="s">
        <v>21</v>
      </c>
      <c r="B36" s="122"/>
      <c r="C36" s="71">
        <v>412900</v>
      </c>
      <c r="D36" s="87" t="s">
        <v>123</v>
      </c>
      <c r="E36" s="144">
        <v>0</v>
      </c>
      <c r="F36" s="144">
        <f t="shared" si="5"/>
        <v>4000</v>
      </c>
      <c r="G36" s="144">
        <v>4000</v>
      </c>
      <c r="H36" s="155" t="e">
        <f t="shared" si="3"/>
        <v>#DIV/0!</v>
      </c>
      <c r="I36" s="205" t="e">
        <f>H36*1.1</f>
        <v>#DIV/0!</v>
      </c>
      <c r="J36" s="6"/>
    </row>
    <row r="37" spans="1:10" ht="12.75" customHeight="1">
      <c r="A37" s="121"/>
      <c r="B37" s="47">
        <v>416000</v>
      </c>
      <c r="C37" s="60"/>
      <c r="D37" s="133" t="s">
        <v>1</v>
      </c>
      <c r="E37" s="139">
        <f>SUM(E38)</f>
        <v>0</v>
      </c>
      <c r="F37" s="139">
        <f>SUM(F38)</f>
        <v>92157.23</v>
      </c>
      <c r="G37" s="139">
        <f>SUM(G38)</f>
        <v>92157.23</v>
      </c>
      <c r="H37" s="134" t="e">
        <f t="shared" si="3"/>
        <v>#DIV/0!</v>
      </c>
      <c r="I37" s="136">
        <f>G37/$G$562*100</f>
        <v>0.29349436305732485</v>
      </c>
      <c r="J37" s="6"/>
    </row>
    <row r="38" spans="1:10" ht="15" customHeight="1">
      <c r="A38" s="121" t="s">
        <v>26</v>
      </c>
      <c r="B38" s="122"/>
      <c r="C38" s="71">
        <v>416100</v>
      </c>
      <c r="D38" s="87" t="s">
        <v>518</v>
      </c>
      <c r="E38" s="144">
        <v>0</v>
      </c>
      <c r="F38" s="144">
        <f>G38-E38</f>
        <v>92157.23</v>
      </c>
      <c r="G38" s="144">
        <v>92157.23</v>
      </c>
      <c r="H38" s="155" t="e">
        <f t="shared" si="3"/>
        <v>#DIV/0!</v>
      </c>
      <c r="I38" s="205">
        <f>G38/$G$562*100</f>
        <v>0.29349436305732485</v>
      </c>
      <c r="J38" s="6"/>
    </row>
    <row r="39" spans="1:10" ht="27" customHeight="1">
      <c r="A39" s="505"/>
      <c r="B39" s="506"/>
      <c r="C39" s="491" t="s">
        <v>76</v>
      </c>
      <c r="D39" s="491"/>
      <c r="E39" s="157">
        <f>E23+E25+E37</f>
        <v>88000</v>
      </c>
      <c r="F39" s="157">
        <f>F23+F25+F37</f>
        <v>109757.23</v>
      </c>
      <c r="G39" s="157">
        <f>G23+G25+G37</f>
        <v>197757.22999999998</v>
      </c>
      <c r="H39" s="334">
        <f t="shared" si="3"/>
        <v>224.72412499999996</v>
      </c>
      <c r="I39" s="385">
        <f>G39/$G$562*100</f>
        <v>0.6298000955414013</v>
      </c>
      <c r="J39" s="6"/>
    </row>
    <row r="40" spans="1:10" ht="12.75" customHeight="1">
      <c r="A40" s="159"/>
      <c r="B40" s="160"/>
      <c r="C40" s="497" t="s">
        <v>516</v>
      </c>
      <c r="D40" s="498"/>
      <c r="E40" s="161"/>
      <c r="F40" s="161"/>
      <c r="G40" s="161"/>
      <c r="H40" s="161"/>
      <c r="I40" s="162"/>
      <c r="J40" s="6"/>
    </row>
    <row r="41" spans="1:10" ht="12.75">
      <c r="A41" s="163"/>
      <c r="B41" s="164"/>
      <c r="C41" s="499"/>
      <c r="D41" s="500"/>
      <c r="E41" s="165"/>
      <c r="F41" s="165"/>
      <c r="G41" s="165"/>
      <c r="H41" s="165"/>
      <c r="I41" s="166"/>
      <c r="J41" s="6"/>
    </row>
    <row r="42" spans="1:10" ht="19.5" customHeight="1">
      <c r="A42" s="167"/>
      <c r="B42" s="168"/>
      <c r="C42" s="501"/>
      <c r="D42" s="502"/>
      <c r="E42" s="169"/>
      <c r="F42" s="169"/>
      <c r="G42" s="169"/>
      <c r="H42" s="169"/>
      <c r="I42" s="170"/>
      <c r="J42" s="6"/>
    </row>
    <row r="43" spans="1:10" ht="12.75">
      <c r="A43" s="119"/>
      <c r="B43" s="47">
        <v>412000</v>
      </c>
      <c r="C43" s="60"/>
      <c r="D43" s="133" t="s">
        <v>114</v>
      </c>
      <c r="E43" s="135">
        <f>SUM(E44:E49)</f>
        <v>30800</v>
      </c>
      <c r="F43" s="135">
        <f>SUM(F44:F49)</f>
        <v>5930</v>
      </c>
      <c r="G43" s="135">
        <f>SUM(G44:G49)</f>
        <v>36730</v>
      </c>
      <c r="H43" s="135">
        <f aca="true" t="shared" si="6" ref="H43:H58">G43/E43*100</f>
        <v>119.25324675324676</v>
      </c>
      <c r="I43" s="171">
        <f aca="true" t="shared" si="7" ref="I43:I58">G43/$G$562*100</f>
        <v>0.11697452229299363</v>
      </c>
      <c r="J43" s="6"/>
    </row>
    <row r="44" spans="1:10" ht="25.5">
      <c r="A44" s="119" t="s">
        <v>51</v>
      </c>
      <c r="B44" s="47"/>
      <c r="C44" s="60">
        <v>412200</v>
      </c>
      <c r="D44" s="82" t="s">
        <v>116</v>
      </c>
      <c r="E44" s="142">
        <v>17400</v>
      </c>
      <c r="F44" s="142">
        <f aca="true" t="shared" si="8" ref="F44:F49">G44-E44</f>
        <v>-800</v>
      </c>
      <c r="G44" s="142">
        <v>16600</v>
      </c>
      <c r="H44" s="138">
        <f t="shared" si="6"/>
        <v>95.40229885057471</v>
      </c>
      <c r="I44" s="380">
        <f t="shared" si="7"/>
        <v>0.05286624203821656</v>
      </c>
      <c r="J44" s="6"/>
    </row>
    <row r="45" spans="1:10" ht="12.75">
      <c r="A45" s="119" t="s">
        <v>51</v>
      </c>
      <c r="B45" s="47"/>
      <c r="C45" s="60">
        <v>412300</v>
      </c>
      <c r="D45" s="122" t="s">
        <v>117</v>
      </c>
      <c r="E45" s="142">
        <v>1000</v>
      </c>
      <c r="F45" s="142">
        <f t="shared" si="8"/>
        <v>0</v>
      </c>
      <c r="G45" s="142">
        <v>1000</v>
      </c>
      <c r="H45" s="138">
        <f t="shared" si="6"/>
        <v>100</v>
      </c>
      <c r="I45" s="380">
        <f t="shared" si="7"/>
        <v>0.003184713375796178</v>
      </c>
      <c r="J45" s="6"/>
    </row>
    <row r="46" spans="1:10" ht="12.75">
      <c r="A46" s="119" t="s">
        <v>51</v>
      </c>
      <c r="B46" s="47"/>
      <c r="C46" s="60">
        <v>412400</v>
      </c>
      <c r="D46" s="82" t="s">
        <v>118</v>
      </c>
      <c r="E46" s="142">
        <v>1500</v>
      </c>
      <c r="F46" s="142">
        <f t="shared" si="8"/>
        <v>-850</v>
      </c>
      <c r="G46" s="142">
        <v>650</v>
      </c>
      <c r="H46" s="138">
        <f t="shared" si="6"/>
        <v>43.333333333333336</v>
      </c>
      <c r="I46" s="380">
        <f t="shared" si="7"/>
        <v>0.002070063694267516</v>
      </c>
      <c r="J46" s="6"/>
    </row>
    <row r="47" spans="1:10" ht="12.75">
      <c r="A47" s="119" t="s">
        <v>51</v>
      </c>
      <c r="B47" s="47"/>
      <c r="C47" s="122">
        <v>412700</v>
      </c>
      <c r="D47" s="122" t="s">
        <v>121</v>
      </c>
      <c r="E47" s="142">
        <v>7000</v>
      </c>
      <c r="F47" s="142">
        <f t="shared" si="8"/>
        <v>1650</v>
      </c>
      <c r="G47" s="142">
        <v>8650</v>
      </c>
      <c r="H47" s="138">
        <f t="shared" si="6"/>
        <v>123.57142857142858</v>
      </c>
      <c r="I47" s="380">
        <f t="shared" si="7"/>
        <v>0.02754777070063694</v>
      </c>
      <c r="J47" s="6"/>
    </row>
    <row r="48" spans="1:10" ht="12.75">
      <c r="A48" s="119" t="s">
        <v>51</v>
      </c>
      <c r="B48" s="47"/>
      <c r="C48" s="122">
        <v>412900</v>
      </c>
      <c r="D48" s="122" t="s">
        <v>0</v>
      </c>
      <c r="E48" s="142">
        <v>400</v>
      </c>
      <c r="F48" s="142">
        <f t="shared" si="8"/>
        <v>0</v>
      </c>
      <c r="G48" s="142">
        <v>400</v>
      </c>
      <c r="H48" s="138">
        <f t="shared" si="6"/>
        <v>100</v>
      </c>
      <c r="I48" s="380">
        <f t="shared" si="7"/>
        <v>0.0012738853503184715</v>
      </c>
      <c r="J48" s="6"/>
    </row>
    <row r="49" spans="1:10" ht="12.75">
      <c r="A49" s="119" t="s">
        <v>51</v>
      </c>
      <c r="B49" s="47"/>
      <c r="C49" s="122">
        <v>412900</v>
      </c>
      <c r="D49" s="122" t="s">
        <v>123</v>
      </c>
      <c r="E49" s="144">
        <v>3500</v>
      </c>
      <c r="F49" s="142">
        <f t="shared" si="8"/>
        <v>5930</v>
      </c>
      <c r="G49" s="144">
        <v>9430</v>
      </c>
      <c r="H49" s="138">
        <f t="shared" si="6"/>
        <v>269.42857142857144</v>
      </c>
      <c r="I49" s="380">
        <f t="shared" si="7"/>
        <v>0.030031847133757963</v>
      </c>
      <c r="J49" s="6"/>
    </row>
    <row r="50" spans="1:10" ht="12.75">
      <c r="A50" s="119"/>
      <c r="B50" s="47">
        <v>415000</v>
      </c>
      <c r="C50" s="122"/>
      <c r="D50" s="145" t="s">
        <v>128</v>
      </c>
      <c r="E50" s="173">
        <f>SUM(E51:E51)</f>
        <v>1000</v>
      </c>
      <c r="F50" s="173">
        <f>SUM(F51:F51)</f>
        <v>0</v>
      </c>
      <c r="G50" s="173">
        <f>SUM(G51:G51)</f>
        <v>1000</v>
      </c>
      <c r="H50" s="135">
        <f t="shared" si="6"/>
        <v>100</v>
      </c>
      <c r="I50" s="171">
        <f t="shared" si="7"/>
        <v>0.003184713375796178</v>
      </c>
      <c r="J50" s="6"/>
    </row>
    <row r="51" spans="1:10" ht="14.25" customHeight="1">
      <c r="A51" s="119" t="s">
        <v>51</v>
      </c>
      <c r="B51" s="47"/>
      <c r="C51" s="122">
        <v>415200</v>
      </c>
      <c r="D51" s="82" t="s">
        <v>580</v>
      </c>
      <c r="E51" s="144">
        <v>1000</v>
      </c>
      <c r="F51" s="144">
        <f>G51-E51</f>
        <v>0</v>
      </c>
      <c r="G51" s="144">
        <v>1000</v>
      </c>
      <c r="H51" s="138">
        <f t="shared" si="6"/>
        <v>100</v>
      </c>
      <c r="I51" s="380">
        <f t="shared" si="7"/>
        <v>0.003184713375796178</v>
      </c>
      <c r="J51" s="6"/>
    </row>
    <row r="52" spans="1:10" ht="25.5" customHeight="1">
      <c r="A52" s="119"/>
      <c r="B52" s="47"/>
      <c r="C52" s="60"/>
      <c r="D52" s="133" t="s">
        <v>428</v>
      </c>
      <c r="E52" s="173">
        <f>SUM(E53:E57)</f>
        <v>420000</v>
      </c>
      <c r="F52" s="173">
        <f>SUM(F53:F57)</f>
        <v>-5930</v>
      </c>
      <c r="G52" s="173">
        <f>SUM(G53:G57)</f>
        <v>414070</v>
      </c>
      <c r="H52" s="135">
        <f t="shared" si="6"/>
        <v>98.58809523809524</v>
      </c>
      <c r="I52" s="171">
        <f t="shared" si="7"/>
        <v>1.3186942675159237</v>
      </c>
      <c r="J52" s="6"/>
    </row>
    <row r="53" spans="1:10" ht="12.75">
      <c r="A53" s="119" t="s">
        <v>51</v>
      </c>
      <c r="B53" s="47"/>
      <c r="C53" s="60">
        <v>412500</v>
      </c>
      <c r="D53" s="82" t="s">
        <v>119</v>
      </c>
      <c r="E53" s="144">
        <v>10000</v>
      </c>
      <c r="F53" s="144">
        <f>G53-E53</f>
        <v>0</v>
      </c>
      <c r="G53" s="144">
        <v>10000</v>
      </c>
      <c r="H53" s="138">
        <f t="shared" si="6"/>
        <v>100</v>
      </c>
      <c r="I53" s="380">
        <f t="shared" si="7"/>
        <v>0.03184713375796178</v>
      </c>
      <c r="J53" s="6"/>
    </row>
    <row r="54" spans="1:10" ht="15" customHeight="1">
      <c r="A54" s="119" t="s">
        <v>51</v>
      </c>
      <c r="B54" s="47"/>
      <c r="C54" s="60">
        <v>511200</v>
      </c>
      <c r="D54" s="115" t="s">
        <v>141</v>
      </c>
      <c r="E54" s="144">
        <v>5000</v>
      </c>
      <c r="F54" s="144">
        <f>G54-E54</f>
        <v>0</v>
      </c>
      <c r="G54" s="144">
        <v>5000</v>
      </c>
      <c r="H54" s="138">
        <f t="shared" si="6"/>
        <v>100</v>
      </c>
      <c r="I54" s="380">
        <f t="shared" si="7"/>
        <v>0.01592356687898089</v>
      </c>
      <c r="J54" s="411"/>
    </row>
    <row r="55" spans="1:10" ht="12.75">
      <c r="A55" s="119" t="s">
        <v>51</v>
      </c>
      <c r="B55" s="47"/>
      <c r="C55" s="60">
        <v>511300</v>
      </c>
      <c r="D55" s="87" t="s">
        <v>2</v>
      </c>
      <c r="E55" s="144">
        <v>380000</v>
      </c>
      <c r="F55" s="144">
        <f>G55-E55</f>
        <v>-5930</v>
      </c>
      <c r="G55" s="144">
        <v>374070</v>
      </c>
      <c r="H55" s="138">
        <f t="shared" si="6"/>
        <v>98.43947368421053</v>
      </c>
      <c r="I55" s="380">
        <f t="shared" si="7"/>
        <v>1.1913057324840766</v>
      </c>
      <c r="J55" s="413"/>
    </row>
    <row r="56" spans="1:10" ht="12.75">
      <c r="A56" s="126" t="s">
        <v>51</v>
      </c>
      <c r="B56" s="47"/>
      <c r="C56" s="60">
        <v>511400</v>
      </c>
      <c r="D56" s="87" t="s">
        <v>268</v>
      </c>
      <c r="E56" s="142">
        <v>10000</v>
      </c>
      <c r="F56" s="144">
        <f>G56-E56</f>
        <v>0</v>
      </c>
      <c r="G56" s="142">
        <v>10000</v>
      </c>
      <c r="H56" s="138">
        <f t="shared" si="6"/>
        <v>100</v>
      </c>
      <c r="I56" s="380">
        <f t="shared" si="7"/>
        <v>0.03184713375796178</v>
      </c>
      <c r="J56" s="6"/>
    </row>
    <row r="57" spans="1:10" ht="12.75">
      <c r="A57" s="126" t="s">
        <v>51</v>
      </c>
      <c r="B57" s="47"/>
      <c r="C57" s="60">
        <v>516100</v>
      </c>
      <c r="D57" s="87" t="s">
        <v>225</v>
      </c>
      <c r="E57" s="142">
        <v>15000</v>
      </c>
      <c r="F57" s="144">
        <f>G57-E57</f>
        <v>0</v>
      </c>
      <c r="G57" s="142">
        <v>15000</v>
      </c>
      <c r="H57" s="138">
        <f t="shared" si="6"/>
        <v>100</v>
      </c>
      <c r="I57" s="380">
        <f t="shared" si="7"/>
        <v>0.04777070063694268</v>
      </c>
      <c r="J57" s="6"/>
    </row>
    <row r="58" spans="1:10" ht="24" customHeight="1">
      <c r="A58" s="505"/>
      <c r="B58" s="506"/>
      <c r="C58" s="491" t="s">
        <v>247</v>
      </c>
      <c r="D58" s="496"/>
      <c r="E58" s="157">
        <f>E43+E50+E52</f>
        <v>451800</v>
      </c>
      <c r="F58" s="157">
        <f>F43+F50+F52</f>
        <v>0</v>
      </c>
      <c r="G58" s="157">
        <f>G43+G50+G52</f>
        <v>451800</v>
      </c>
      <c r="H58" s="354">
        <f t="shared" si="6"/>
        <v>100</v>
      </c>
      <c r="I58" s="335">
        <f t="shared" si="7"/>
        <v>1.4388535031847134</v>
      </c>
      <c r="J58" s="6"/>
    </row>
    <row r="59" spans="1:10" ht="12.75">
      <c r="A59" s="521"/>
      <c r="B59" s="522"/>
      <c r="C59" s="497" t="s">
        <v>491</v>
      </c>
      <c r="D59" s="498"/>
      <c r="E59" s="176"/>
      <c r="F59" s="176"/>
      <c r="G59" s="176"/>
      <c r="H59" s="176"/>
      <c r="I59" s="177"/>
      <c r="J59" s="7"/>
    </row>
    <row r="60" spans="1:10" ht="12.75">
      <c r="A60" s="523"/>
      <c r="B60" s="524"/>
      <c r="C60" s="499"/>
      <c r="D60" s="500"/>
      <c r="E60" s="178"/>
      <c r="F60" s="178"/>
      <c r="G60" s="178"/>
      <c r="H60" s="178"/>
      <c r="I60" s="179"/>
      <c r="J60" s="7"/>
    </row>
    <row r="61" spans="1:10" ht="21" customHeight="1">
      <c r="A61" s="525"/>
      <c r="B61" s="526"/>
      <c r="C61" s="501"/>
      <c r="D61" s="502"/>
      <c r="E61" s="178"/>
      <c r="F61" s="178"/>
      <c r="G61" s="178"/>
      <c r="H61" s="178"/>
      <c r="I61" s="179"/>
      <c r="J61" s="7"/>
    </row>
    <row r="62" spans="1:10" ht="12.75">
      <c r="A62" s="119"/>
      <c r="B62" s="180" t="s">
        <v>328</v>
      </c>
      <c r="C62" s="181"/>
      <c r="D62" s="182" t="s">
        <v>114</v>
      </c>
      <c r="E62" s="173">
        <f>SUM(E63:E65)</f>
        <v>4000</v>
      </c>
      <c r="F62" s="173">
        <f>SUM(F63:F65)</f>
        <v>-2000</v>
      </c>
      <c r="G62" s="173">
        <f>SUM(G63:G65)</f>
        <v>2000</v>
      </c>
      <c r="H62" s="173">
        <f aca="true" t="shared" si="9" ref="H62:H71">G62/E62*100</f>
        <v>50</v>
      </c>
      <c r="I62" s="140">
        <f aca="true" t="shared" si="10" ref="I62:I71">G62/$G$562*100</f>
        <v>0.006369426751592356</v>
      </c>
      <c r="J62" s="7"/>
    </row>
    <row r="63" spans="1:10" ht="12.75">
      <c r="A63" s="119" t="s">
        <v>51</v>
      </c>
      <c r="B63" s="47"/>
      <c r="C63" s="71">
        <v>412900</v>
      </c>
      <c r="D63" s="82" t="s">
        <v>251</v>
      </c>
      <c r="E63" s="138">
        <v>2000</v>
      </c>
      <c r="F63" s="138">
        <f>G63-E63</f>
        <v>-2000</v>
      </c>
      <c r="G63" s="138">
        <v>0</v>
      </c>
      <c r="H63" s="184">
        <f t="shared" si="9"/>
        <v>0</v>
      </c>
      <c r="I63" s="64">
        <f t="shared" si="10"/>
        <v>0</v>
      </c>
      <c r="J63" s="7"/>
    </row>
    <row r="64" spans="1:10" ht="24" customHeight="1">
      <c r="A64" s="119" t="s">
        <v>51</v>
      </c>
      <c r="B64" s="47"/>
      <c r="C64" s="71">
        <v>412900</v>
      </c>
      <c r="D64" s="82" t="s">
        <v>275</v>
      </c>
      <c r="E64" s="138">
        <v>2000</v>
      </c>
      <c r="F64" s="138">
        <f>G64-E64</f>
        <v>0</v>
      </c>
      <c r="G64" s="138">
        <v>2000</v>
      </c>
      <c r="H64" s="184">
        <f t="shared" si="9"/>
        <v>100</v>
      </c>
      <c r="I64" s="64">
        <f t="shared" si="10"/>
        <v>0.006369426751592356</v>
      </c>
      <c r="J64" s="7"/>
    </row>
    <row r="65" spans="1:10" ht="0.75" customHeight="1" hidden="1">
      <c r="A65" s="119" t="s">
        <v>51</v>
      </c>
      <c r="B65" s="47"/>
      <c r="C65" s="71">
        <v>412900</v>
      </c>
      <c r="D65" s="82" t="s">
        <v>400</v>
      </c>
      <c r="E65" s="185">
        <v>0</v>
      </c>
      <c r="F65" s="185"/>
      <c r="G65" s="185">
        <v>0</v>
      </c>
      <c r="H65" s="173" t="e">
        <f t="shared" si="9"/>
        <v>#DIV/0!</v>
      </c>
      <c r="I65" s="140">
        <f t="shared" si="10"/>
        <v>0</v>
      </c>
      <c r="J65" s="7"/>
    </row>
    <row r="66" spans="1:10" ht="12.75">
      <c r="A66" s="119"/>
      <c r="B66" s="47">
        <v>416000</v>
      </c>
      <c r="C66" s="71"/>
      <c r="D66" s="133" t="s">
        <v>1</v>
      </c>
      <c r="E66" s="173">
        <f>SUM(E67:E68)</f>
        <v>5000</v>
      </c>
      <c r="F66" s="173">
        <f>SUM(F67:F68)</f>
        <v>0</v>
      </c>
      <c r="G66" s="173">
        <f>SUM(G67:G68)</f>
        <v>5000</v>
      </c>
      <c r="H66" s="173">
        <f t="shared" si="9"/>
        <v>100</v>
      </c>
      <c r="I66" s="140">
        <f t="shared" si="10"/>
        <v>0.01592356687898089</v>
      </c>
      <c r="J66" s="7"/>
    </row>
    <row r="67" spans="1:10" ht="13.5" customHeight="1">
      <c r="A67" s="119" t="s">
        <v>51</v>
      </c>
      <c r="B67" s="47"/>
      <c r="C67" s="71">
        <v>416100</v>
      </c>
      <c r="D67" s="82" t="s">
        <v>186</v>
      </c>
      <c r="E67" s="186">
        <v>5000</v>
      </c>
      <c r="F67" s="186">
        <f>G67-E67</f>
        <v>0</v>
      </c>
      <c r="G67" s="186">
        <v>5000</v>
      </c>
      <c r="H67" s="184">
        <f t="shared" si="9"/>
        <v>100</v>
      </c>
      <c r="I67" s="64">
        <f t="shared" si="10"/>
        <v>0.01592356687898089</v>
      </c>
      <c r="J67" s="7"/>
    </row>
    <row r="68" spans="1:10" ht="19.5" customHeight="1" hidden="1">
      <c r="A68" s="119" t="s">
        <v>51</v>
      </c>
      <c r="B68" s="47"/>
      <c r="C68" s="71">
        <v>416100</v>
      </c>
      <c r="D68" s="82" t="s">
        <v>403</v>
      </c>
      <c r="E68" s="186">
        <v>0</v>
      </c>
      <c r="F68" s="186"/>
      <c r="G68" s="186">
        <v>0</v>
      </c>
      <c r="H68" s="173" t="e">
        <f t="shared" si="9"/>
        <v>#DIV/0!</v>
      </c>
      <c r="I68" s="140">
        <f t="shared" si="10"/>
        <v>0</v>
      </c>
      <c r="J68" s="7"/>
    </row>
    <row r="69" spans="1:10" ht="12.75">
      <c r="A69" s="119"/>
      <c r="B69" s="47">
        <v>511000</v>
      </c>
      <c r="C69" s="71"/>
      <c r="D69" s="133" t="s">
        <v>132</v>
      </c>
      <c r="E69" s="173">
        <f>SUM(E70)</f>
        <v>6000</v>
      </c>
      <c r="F69" s="173">
        <f>SUM(F70)</f>
        <v>0</v>
      </c>
      <c r="G69" s="173">
        <f>SUM(G70)</f>
        <v>6000</v>
      </c>
      <c r="H69" s="173">
        <f t="shared" si="9"/>
        <v>100</v>
      </c>
      <c r="I69" s="140">
        <f t="shared" si="10"/>
        <v>0.01910828025477707</v>
      </c>
      <c r="J69" s="7"/>
    </row>
    <row r="70" spans="1:10" ht="12.75">
      <c r="A70" s="119" t="s">
        <v>51</v>
      </c>
      <c r="B70" s="47"/>
      <c r="C70" s="71">
        <v>511300</v>
      </c>
      <c r="D70" s="82" t="s">
        <v>252</v>
      </c>
      <c r="E70" s="186">
        <v>6000</v>
      </c>
      <c r="F70" s="186">
        <f>G70-E70</f>
        <v>0</v>
      </c>
      <c r="G70" s="186">
        <v>6000</v>
      </c>
      <c r="H70" s="184">
        <f t="shared" si="9"/>
        <v>100</v>
      </c>
      <c r="I70" s="64">
        <f t="shared" si="10"/>
        <v>0.01910828025477707</v>
      </c>
      <c r="J70" s="7"/>
    </row>
    <row r="71" spans="1:10" ht="26.25" customHeight="1">
      <c r="A71" s="505"/>
      <c r="B71" s="506"/>
      <c r="C71" s="491" t="s">
        <v>398</v>
      </c>
      <c r="D71" s="491"/>
      <c r="E71" s="157">
        <f>E62+E66+E69</f>
        <v>15000</v>
      </c>
      <c r="F71" s="157">
        <f>F62+F66+F69</f>
        <v>-2000</v>
      </c>
      <c r="G71" s="157">
        <f>G62+G66+G69</f>
        <v>13000</v>
      </c>
      <c r="H71" s="355">
        <f t="shared" si="9"/>
        <v>86.66666666666667</v>
      </c>
      <c r="I71" s="386">
        <f t="shared" si="10"/>
        <v>0.041401273885350316</v>
      </c>
      <c r="J71" s="7"/>
    </row>
    <row r="72" spans="1:10" ht="9.75" customHeight="1">
      <c r="A72" s="505"/>
      <c r="B72" s="506"/>
      <c r="C72" s="494" t="s">
        <v>490</v>
      </c>
      <c r="D72" s="494"/>
      <c r="E72" s="187"/>
      <c r="F72" s="187"/>
      <c r="G72" s="187"/>
      <c r="H72" s="187"/>
      <c r="I72" s="188"/>
      <c r="J72" s="6"/>
    </row>
    <row r="73" spans="1:10" ht="9.75" customHeight="1">
      <c r="A73" s="505"/>
      <c r="B73" s="506"/>
      <c r="C73" s="494"/>
      <c r="D73" s="494"/>
      <c r="E73" s="189"/>
      <c r="F73" s="189"/>
      <c r="G73" s="189"/>
      <c r="H73" s="189"/>
      <c r="I73" s="190"/>
      <c r="J73" s="6"/>
    </row>
    <row r="74" spans="1:10" ht="21" customHeight="1">
      <c r="A74" s="505"/>
      <c r="B74" s="506"/>
      <c r="C74" s="494"/>
      <c r="D74" s="494"/>
      <c r="E74" s="191"/>
      <c r="F74" s="191"/>
      <c r="G74" s="191"/>
      <c r="H74" s="191"/>
      <c r="I74" s="192"/>
      <c r="J74" s="6"/>
    </row>
    <row r="75" spans="1:10" ht="14.25" customHeight="1">
      <c r="A75" s="119"/>
      <c r="B75" s="47">
        <v>412000</v>
      </c>
      <c r="C75" s="53"/>
      <c r="D75" s="133" t="s">
        <v>114</v>
      </c>
      <c r="E75" s="135">
        <f>SUM(E76:E81)</f>
        <v>43000</v>
      </c>
      <c r="F75" s="135">
        <f>SUM(F76:F81)</f>
        <v>-10600</v>
      </c>
      <c r="G75" s="135">
        <f>SUM(G76:G81)</f>
        <v>32400</v>
      </c>
      <c r="H75" s="135">
        <f aca="true" t="shared" si="11" ref="H75:H87">G75/E75*100</f>
        <v>75.34883720930232</v>
      </c>
      <c r="I75" s="136">
        <f aca="true" t="shared" si="12" ref="I75:I87">G75/$G$562*100</f>
        <v>0.10318471337579617</v>
      </c>
      <c r="J75" s="6"/>
    </row>
    <row r="76" spans="1:10" ht="12.75" customHeight="1">
      <c r="A76" s="119" t="s">
        <v>21</v>
      </c>
      <c r="B76" s="122"/>
      <c r="C76" s="60">
        <v>412700</v>
      </c>
      <c r="D76" s="122" t="s">
        <v>137</v>
      </c>
      <c r="E76" s="142">
        <v>7200</v>
      </c>
      <c r="F76" s="142">
        <f aca="true" t="shared" si="13" ref="F76:F81">G76-E76</f>
        <v>-3200</v>
      </c>
      <c r="G76" s="138">
        <v>4000</v>
      </c>
      <c r="H76" s="138">
        <f t="shared" si="11"/>
        <v>55.55555555555556</v>
      </c>
      <c r="I76" s="205">
        <f t="shared" si="12"/>
        <v>0.012738853503184712</v>
      </c>
      <c r="J76" s="6"/>
    </row>
    <row r="77" spans="1:10" ht="12.75" customHeight="1">
      <c r="A77" s="119" t="s">
        <v>30</v>
      </c>
      <c r="B77" s="122"/>
      <c r="C77" s="60">
        <v>412700</v>
      </c>
      <c r="D77" s="122" t="s">
        <v>100</v>
      </c>
      <c r="E77" s="142">
        <v>12300</v>
      </c>
      <c r="F77" s="142">
        <f t="shared" si="13"/>
        <v>1000</v>
      </c>
      <c r="G77" s="142">
        <v>13300</v>
      </c>
      <c r="H77" s="138">
        <f t="shared" si="11"/>
        <v>108.130081300813</v>
      </c>
      <c r="I77" s="205">
        <f t="shared" si="12"/>
        <v>0.04235668789808917</v>
      </c>
      <c r="J77" s="6"/>
    </row>
    <row r="78" spans="1:10" ht="12.75" customHeight="1">
      <c r="A78" s="119" t="s">
        <v>21</v>
      </c>
      <c r="B78" s="122"/>
      <c r="C78" s="60">
        <v>412900</v>
      </c>
      <c r="D78" s="82" t="s">
        <v>0</v>
      </c>
      <c r="E78" s="142">
        <v>300</v>
      </c>
      <c r="F78" s="142">
        <f t="shared" si="13"/>
        <v>0</v>
      </c>
      <c r="G78" s="142">
        <v>300</v>
      </c>
      <c r="H78" s="138">
        <f t="shared" si="11"/>
        <v>100</v>
      </c>
      <c r="I78" s="205">
        <f t="shared" si="12"/>
        <v>0.0009554140127388536</v>
      </c>
      <c r="J78" s="6"/>
    </row>
    <row r="79" spans="1:10" ht="12.75" customHeight="1">
      <c r="A79" s="119" t="s">
        <v>21</v>
      </c>
      <c r="B79" s="122"/>
      <c r="C79" s="60">
        <v>412900</v>
      </c>
      <c r="D79" s="87" t="s">
        <v>173</v>
      </c>
      <c r="E79" s="142">
        <v>11300</v>
      </c>
      <c r="F79" s="142">
        <f t="shared" si="13"/>
        <v>1000</v>
      </c>
      <c r="G79" s="142">
        <v>12300</v>
      </c>
      <c r="H79" s="138">
        <f t="shared" si="11"/>
        <v>108.84955752212389</v>
      </c>
      <c r="I79" s="205">
        <f t="shared" si="12"/>
        <v>0.03917197452229299</v>
      </c>
      <c r="J79" s="6"/>
    </row>
    <row r="80" spans="1:10" ht="14.25" customHeight="1">
      <c r="A80" s="119" t="s">
        <v>21</v>
      </c>
      <c r="B80" s="122"/>
      <c r="C80" s="195">
        <v>412900</v>
      </c>
      <c r="D80" s="87" t="s">
        <v>405</v>
      </c>
      <c r="E80" s="142">
        <v>10000</v>
      </c>
      <c r="F80" s="142">
        <f t="shared" si="13"/>
        <v>-10000</v>
      </c>
      <c r="G80" s="142">
        <v>0</v>
      </c>
      <c r="H80" s="138">
        <f t="shared" si="11"/>
        <v>0</v>
      </c>
      <c r="I80" s="205">
        <f t="shared" si="12"/>
        <v>0</v>
      </c>
      <c r="J80" s="6"/>
    </row>
    <row r="81" spans="1:10" ht="14.25" customHeight="1">
      <c r="A81" s="119" t="s">
        <v>21</v>
      </c>
      <c r="B81" s="122"/>
      <c r="C81" s="195">
        <v>412900</v>
      </c>
      <c r="D81" s="87" t="s">
        <v>123</v>
      </c>
      <c r="E81" s="142">
        <v>1900</v>
      </c>
      <c r="F81" s="142">
        <f t="shared" si="13"/>
        <v>600</v>
      </c>
      <c r="G81" s="142">
        <v>2500</v>
      </c>
      <c r="H81" s="138">
        <f t="shared" si="11"/>
        <v>131.57894736842107</v>
      </c>
      <c r="I81" s="205">
        <f t="shared" si="12"/>
        <v>0.007961783439490446</v>
      </c>
      <c r="J81" s="6"/>
    </row>
    <row r="82" spans="1:10" ht="14.25" customHeight="1">
      <c r="A82" s="119"/>
      <c r="B82" s="122"/>
      <c r="C82" s="60"/>
      <c r="D82" s="86" t="s">
        <v>112</v>
      </c>
      <c r="E82" s="173">
        <f>SUM(E83:E86)</f>
        <v>12000</v>
      </c>
      <c r="F82" s="173">
        <f>SUM(F83:F86)</f>
        <v>496.6</v>
      </c>
      <c r="G82" s="173">
        <f>SUM(G83:G86)</f>
        <v>12496.6</v>
      </c>
      <c r="H82" s="135">
        <f t="shared" si="11"/>
        <v>104.13833333333334</v>
      </c>
      <c r="I82" s="136">
        <f t="shared" si="12"/>
        <v>0.03979808917197452</v>
      </c>
      <c r="J82" s="6"/>
    </row>
    <row r="83" spans="1:10" ht="14.25" customHeight="1">
      <c r="A83" s="119" t="s">
        <v>32</v>
      </c>
      <c r="B83" s="122"/>
      <c r="C83" s="60">
        <v>412300</v>
      </c>
      <c r="D83" s="87" t="s">
        <v>219</v>
      </c>
      <c r="E83" s="142">
        <v>1000</v>
      </c>
      <c r="F83" s="142">
        <f>G83-E83</f>
        <v>0</v>
      </c>
      <c r="G83" s="142">
        <v>1000</v>
      </c>
      <c r="H83" s="138">
        <f t="shared" si="11"/>
        <v>100</v>
      </c>
      <c r="I83" s="205">
        <f t="shared" si="12"/>
        <v>0.003184713375796178</v>
      </c>
      <c r="J83" s="6"/>
    </row>
    <row r="84" spans="1:10" ht="13.5" customHeight="1">
      <c r="A84" s="121" t="s">
        <v>32</v>
      </c>
      <c r="B84" s="193"/>
      <c r="C84" s="90">
        <v>412500</v>
      </c>
      <c r="D84" s="87" t="s">
        <v>212</v>
      </c>
      <c r="E84" s="144">
        <v>7000</v>
      </c>
      <c r="F84" s="142">
        <f>G84-E84</f>
        <v>0</v>
      </c>
      <c r="G84" s="144">
        <v>7000</v>
      </c>
      <c r="H84" s="138">
        <f t="shared" si="11"/>
        <v>100</v>
      </c>
      <c r="I84" s="205">
        <f t="shared" si="12"/>
        <v>0.022292993630573247</v>
      </c>
      <c r="J84" s="7"/>
    </row>
    <row r="85" spans="1:10" ht="12.75" customHeight="1">
      <c r="A85" s="119" t="s">
        <v>32</v>
      </c>
      <c r="B85" s="122"/>
      <c r="C85" s="60">
        <v>412900</v>
      </c>
      <c r="D85" s="87" t="s">
        <v>213</v>
      </c>
      <c r="E85" s="144">
        <v>4000</v>
      </c>
      <c r="F85" s="142">
        <f>G85-E85</f>
        <v>0</v>
      </c>
      <c r="G85" s="144">
        <v>4000</v>
      </c>
      <c r="H85" s="138">
        <f t="shared" si="11"/>
        <v>100</v>
      </c>
      <c r="I85" s="205">
        <f t="shared" si="12"/>
        <v>0.012738853503184712</v>
      </c>
      <c r="J85" s="6"/>
    </row>
    <row r="86" spans="1:10" ht="24" customHeight="1">
      <c r="A86" s="119" t="s">
        <v>32</v>
      </c>
      <c r="B86" s="122"/>
      <c r="C86" s="60">
        <v>412900</v>
      </c>
      <c r="D86" s="87" t="s">
        <v>533</v>
      </c>
      <c r="E86" s="144">
        <v>0</v>
      </c>
      <c r="F86" s="142">
        <f>G86-E86</f>
        <v>496.6</v>
      </c>
      <c r="G86" s="144">
        <v>496.6</v>
      </c>
      <c r="H86" s="138" t="e">
        <f t="shared" si="11"/>
        <v>#DIV/0!</v>
      </c>
      <c r="I86" s="205">
        <f t="shared" si="12"/>
        <v>0.0015815286624203822</v>
      </c>
      <c r="J86" s="6"/>
    </row>
    <row r="87" spans="1:10" ht="25.5" customHeight="1">
      <c r="A87" s="513"/>
      <c r="B87" s="514"/>
      <c r="C87" s="491" t="s">
        <v>77</v>
      </c>
      <c r="D87" s="496"/>
      <c r="E87" s="157">
        <f>E75+E82</f>
        <v>55000</v>
      </c>
      <c r="F87" s="157">
        <f>F75+F82</f>
        <v>-10103.4</v>
      </c>
      <c r="G87" s="157">
        <f>G75+G82</f>
        <v>44896.6</v>
      </c>
      <c r="H87" s="354">
        <f t="shared" si="11"/>
        <v>81.63018181818181</v>
      </c>
      <c r="I87" s="385">
        <f t="shared" si="12"/>
        <v>0.14298280254777068</v>
      </c>
      <c r="J87" s="6"/>
    </row>
    <row r="88" spans="1:10" ht="9.75" customHeight="1">
      <c r="A88" s="505"/>
      <c r="B88" s="506"/>
      <c r="C88" s="494" t="s">
        <v>489</v>
      </c>
      <c r="D88" s="494"/>
      <c r="E88" s="187"/>
      <c r="F88" s="187"/>
      <c r="G88" s="187"/>
      <c r="H88" s="187"/>
      <c r="I88" s="188"/>
      <c r="J88" s="6"/>
    </row>
    <row r="89" spans="1:10" ht="9.75" customHeight="1">
      <c r="A89" s="505"/>
      <c r="B89" s="506"/>
      <c r="C89" s="494"/>
      <c r="D89" s="494"/>
      <c r="E89" s="189"/>
      <c r="F89" s="189"/>
      <c r="G89" s="189"/>
      <c r="H89" s="189"/>
      <c r="I89" s="190"/>
      <c r="J89" s="6"/>
    </row>
    <row r="90" spans="1:10" ht="21.75" customHeight="1">
      <c r="A90" s="505"/>
      <c r="B90" s="506"/>
      <c r="C90" s="494"/>
      <c r="D90" s="494"/>
      <c r="E90" s="191"/>
      <c r="F90" s="191"/>
      <c r="G90" s="191"/>
      <c r="H90" s="191"/>
      <c r="I90" s="192"/>
      <c r="J90" s="6"/>
    </row>
    <row r="91" spans="1:10" ht="16.5" customHeight="1">
      <c r="A91" s="119"/>
      <c r="B91" s="47">
        <v>411000</v>
      </c>
      <c r="C91" s="194"/>
      <c r="D91" s="65" t="s">
        <v>609</v>
      </c>
      <c r="E91" s="134">
        <f>SUM(E92:E95)</f>
        <v>4643000</v>
      </c>
      <c r="F91" s="134">
        <f>SUM(F92:F95)</f>
        <v>-8000</v>
      </c>
      <c r="G91" s="134">
        <f>SUM(G92:G95)</f>
        <v>4635000</v>
      </c>
      <c r="H91" s="135">
        <f aca="true" t="shared" si="14" ref="H91:H104">G91/E91*100</f>
        <v>99.82769760930434</v>
      </c>
      <c r="I91" s="136">
        <f aca="true" t="shared" si="15" ref="I91:I104">G91/$G$562*100</f>
        <v>14.761146496815286</v>
      </c>
      <c r="J91" s="6"/>
    </row>
    <row r="92" spans="1:10" ht="12.75" customHeight="1">
      <c r="A92" s="119" t="s">
        <v>21</v>
      </c>
      <c r="B92" s="122"/>
      <c r="C92" s="60">
        <v>411100</v>
      </c>
      <c r="D92" s="66" t="s">
        <v>295</v>
      </c>
      <c r="E92" s="186">
        <v>3415000</v>
      </c>
      <c r="F92" s="186">
        <f>G92-E92</f>
        <v>60000</v>
      </c>
      <c r="G92" s="186">
        <v>3475000</v>
      </c>
      <c r="H92" s="138">
        <f t="shared" si="14"/>
        <v>101.75695461200584</v>
      </c>
      <c r="I92" s="205">
        <f t="shared" si="15"/>
        <v>11.06687898089172</v>
      </c>
      <c r="J92" s="309"/>
    </row>
    <row r="93" spans="1:11" ht="26.25" customHeight="1">
      <c r="A93" s="119" t="s">
        <v>21</v>
      </c>
      <c r="B93" s="122"/>
      <c r="C93" s="60">
        <v>411200</v>
      </c>
      <c r="D93" s="66" t="s">
        <v>300</v>
      </c>
      <c r="E93" s="144">
        <v>990000</v>
      </c>
      <c r="F93" s="186">
        <f>G93-E93</f>
        <v>-70000</v>
      </c>
      <c r="G93" s="144">
        <v>920000</v>
      </c>
      <c r="H93" s="138">
        <f t="shared" si="14"/>
        <v>92.92929292929293</v>
      </c>
      <c r="I93" s="205">
        <f t="shared" si="15"/>
        <v>2.9299363057324843</v>
      </c>
      <c r="J93" s="6"/>
      <c r="K93" s="1"/>
    </row>
    <row r="94" spans="1:11" ht="25.5">
      <c r="A94" s="119" t="s">
        <v>21</v>
      </c>
      <c r="B94" s="122"/>
      <c r="C94" s="60">
        <v>411300</v>
      </c>
      <c r="D94" s="66" t="s">
        <v>375</v>
      </c>
      <c r="E94" s="144">
        <v>138000</v>
      </c>
      <c r="F94" s="186">
        <f>G94-E94</f>
        <v>32000</v>
      </c>
      <c r="G94" s="186">
        <v>170000</v>
      </c>
      <c r="H94" s="138">
        <f t="shared" si="14"/>
        <v>123.18840579710144</v>
      </c>
      <c r="I94" s="205">
        <f t="shared" si="15"/>
        <v>0.5414012738853503</v>
      </c>
      <c r="J94" s="6"/>
      <c r="K94" s="1"/>
    </row>
    <row r="95" spans="1:10" ht="12.75" customHeight="1">
      <c r="A95" s="119" t="s">
        <v>21</v>
      </c>
      <c r="B95" s="122"/>
      <c r="C95" s="60">
        <v>411400</v>
      </c>
      <c r="D95" s="67" t="s">
        <v>296</v>
      </c>
      <c r="E95" s="144">
        <v>100000</v>
      </c>
      <c r="F95" s="186">
        <f>G95-E95</f>
        <v>-30000</v>
      </c>
      <c r="G95" s="144">
        <v>70000</v>
      </c>
      <c r="H95" s="138">
        <f t="shared" si="14"/>
        <v>70</v>
      </c>
      <c r="I95" s="205">
        <f t="shared" si="15"/>
        <v>0.2229299363057325</v>
      </c>
      <c r="J95" s="6"/>
    </row>
    <row r="96" spans="1:10" ht="14.25" customHeight="1">
      <c r="A96" s="119"/>
      <c r="B96" s="47">
        <v>412000</v>
      </c>
      <c r="C96" s="60"/>
      <c r="D96" s="133" t="s">
        <v>114</v>
      </c>
      <c r="E96" s="173">
        <f>SUM(E97:E99)</f>
        <v>13000</v>
      </c>
      <c r="F96" s="173">
        <f>SUM(F97:F99)</f>
        <v>0</v>
      </c>
      <c r="G96" s="173">
        <f>SUM(G97:G99)</f>
        <v>13000</v>
      </c>
      <c r="H96" s="135">
        <f t="shared" si="14"/>
        <v>100</v>
      </c>
      <c r="I96" s="136">
        <f t="shared" si="15"/>
        <v>0.041401273885350316</v>
      </c>
      <c r="J96" s="6"/>
    </row>
    <row r="97" spans="1:10" ht="12.75" customHeight="1">
      <c r="A97" s="119" t="s">
        <v>21</v>
      </c>
      <c r="B97" s="122"/>
      <c r="C97" s="60">
        <v>412700</v>
      </c>
      <c r="D97" s="122" t="s">
        <v>101</v>
      </c>
      <c r="E97" s="142">
        <v>7600</v>
      </c>
      <c r="F97" s="142">
        <f>G97-E97</f>
        <v>0</v>
      </c>
      <c r="G97" s="142">
        <v>7600</v>
      </c>
      <c r="H97" s="138">
        <f t="shared" si="14"/>
        <v>100</v>
      </c>
      <c r="I97" s="205">
        <f t="shared" si="15"/>
        <v>0.024203821656050954</v>
      </c>
      <c r="J97" s="6"/>
    </row>
    <row r="98" spans="1:10" ht="12.75" customHeight="1">
      <c r="A98" s="119" t="s">
        <v>21</v>
      </c>
      <c r="B98" s="122"/>
      <c r="C98" s="60">
        <v>412900</v>
      </c>
      <c r="D98" s="82" t="s">
        <v>0</v>
      </c>
      <c r="E98" s="142">
        <v>400</v>
      </c>
      <c r="F98" s="142">
        <f>G98-E98</f>
        <v>0</v>
      </c>
      <c r="G98" s="142">
        <v>400</v>
      </c>
      <c r="H98" s="138">
        <f t="shared" si="14"/>
        <v>100</v>
      </c>
      <c r="I98" s="205">
        <f t="shared" si="15"/>
        <v>0.0012738853503184715</v>
      </c>
      <c r="J98" s="6"/>
    </row>
    <row r="99" spans="1:10" ht="12.75" customHeight="1">
      <c r="A99" s="119" t="s">
        <v>21</v>
      </c>
      <c r="B99" s="122"/>
      <c r="C99" s="60">
        <v>412900</v>
      </c>
      <c r="D99" s="82" t="s">
        <v>138</v>
      </c>
      <c r="E99" s="142">
        <v>5000</v>
      </c>
      <c r="F99" s="142">
        <f>G99-E99</f>
        <v>0</v>
      </c>
      <c r="G99" s="142">
        <v>5000</v>
      </c>
      <c r="H99" s="138">
        <f t="shared" si="14"/>
        <v>100</v>
      </c>
      <c r="I99" s="205">
        <f t="shared" si="15"/>
        <v>0.01592356687898089</v>
      </c>
      <c r="J99" s="6"/>
    </row>
    <row r="100" spans="1:10" ht="12.75">
      <c r="A100" s="119"/>
      <c r="B100" s="47">
        <v>418000</v>
      </c>
      <c r="C100" s="60"/>
      <c r="D100" s="133" t="s">
        <v>377</v>
      </c>
      <c r="E100" s="173">
        <f>SUM(E101)</f>
        <v>8000</v>
      </c>
      <c r="F100" s="173">
        <f>SUM(F101)</f>
        <v>-380</v>
      </c>
      <c r="G100" s="173">
        <f>SUM(G101)</f>
        <v>7620</v>
      </c>
      <c r="H100" s="135">
        <f t="shared" si="14"/>
        <v>95.25</v>
      </c>
      <c r="I100" s="136">
        <f t="shared" si="15"/>
        <v>0.02426751592356688</v>
      </c>
      <c r="J100" s="6"/>
    </row>
    <row r="101" spans="1:10" ht="12" customHeight="1">
      <c r="A101" s="119" t="s">
        <v>21</v>
      </c>
      <c r="B101" s="122"/>
      <c r="C101" s="60">
        <v>418200</v>
      </c>
      <c r="D101" s="82" t="s">
        <v>139</v>
      </c>
      <c r="E101" s="144">
        <v>8000</v>
      </c>
      <c r="F101" s="144">
        <f>G101-E101</f>
        <v>-380</v>
      </c>
      <c r="G101" s="144">
        <v>7620</v>
      </c>
      <c r="H101" s="138">
        <f t="shared" si="14"/>
        <v>95.25</v>
      </c>
      <c r="I101" s="205">
        <f t="shared" si="15"/>
        <v>0.02426751592356688</v>
      </c>
      <c r="J101" s="6"/>
    </row>
    <row r="102" spans="1:10" ht="15" customHeight="1">
      <c r="A102" s="126"/>
      <c r="B102" s="47">
        <v>638000</v>
      </c>
      <c r="C102" s="60"/>
      <c r="D102" s="133" t="s">
        <v>297</v>
      </c>
      <c r="E102" s="173">
        <f>SUM(E103)</f>
        <v>190000</v>
      </c>
      <c r="F102" s="173">
        <f>SUM(F103)</f>
        <v>-50650</v>
      </c>
      <c r="G102" s="173">
        <f>SUM(G103)</f>
        <v>139350</v>
      </c>
      <c r="H102" s="135">
        <f t="shared" si="14"/>
        <v>73.34210526315789</v>
      </c>
      <c r="I102" s="136">
        <f t="shared" si="15"/>
        <v>0.44378980891719744</v>
      </c>
      <c r="J102" s="6"/>
    </row>
    <row r="103" spans="1:10" ht="24" customHeight="1">
      <c r="A103" s="119"/>
      <c r="B103" s="122"/>
      <c r="C103" s="60">
        <v>638100</v>
      </c>
      <c r="D103" s="82" t="s">
        <v>298</v>
      </c>
      <c r="E103" s="144">
        <v>190000</v>
      </c>
      <c r="F103" s="144">
        <f>G103-E103</f>
        <v>-50650</v>
      </c>
      <c r="G103" s="186">
        <v>139350</v>
      </c>
      <c r="H103" s="138">
        <f t="shared" si="14"/>
        <v>73.34210526315789</v>
      </c>
      <c r="I103" s="205">
        <f t="shared" si="15"/>
        <v>0.44378980891719744</v>
      </c>
      <c r="J103" s="309"/>
    </row>
    <row r="104" spans="1:10" ht="24" customHeight="1">
      <c r="A104" s="505"/>
      <c r="B104" s="506"/>
      <c r="C104" s="491" t="s">
        <v>74</v>
      </c>
      <c r="D104" s="496"/>
      <c r="E104" s="157">
        <f>E91+E96+E100+E102</f>
        <v>4854000</v>
      </c>
      <c r="F104" s="157">
        <f>F91+F96+F100+F102</f>
        <v>-59030</v>
      </c>
      <c r="G104" s="157">
        <f>G91+G96+G100+G102</f>
        <v>4794970</v>
      </c>
      <c r="H104" s="354">
        <f t="shared" si="14"/>
        <v>98.78388957560774</v>
      </c>
      <c r="I104" s="385">
        <f t="shared" si="15"/>
        <v>15.2706050955414</v>
      </c>
      <c r="J104" s="18"/>
    </row>
    <row r="105" spans="1:10" ht="9.75" customHeight="1">
      <c r="A105" s="509"/>
      <c r="B105" s="510"/>
      <c r="C105" s="494" t="s">
        <v>488</v>
      </c>
      <c r="D105" s="494"/>
      <c r="E105" s="187"/>
      <c r="F105" s="187"/>
      <c r="G105" s="187"/>
      <c r="H105" s="187"/>
      <c r="I105" s="188"/>
      <c r="J105" s="18"/>
    </row>
    <row r="106" spans="1:10" ht="9.75" customHeight="1">
      <c r="A106" s="509"/>
      <c r="B106" s="510"/>
      <c r="C106" s="494"/>
      <c r="D106" s="494"/>
      <c r="E106" s="401"/>
      <c r="F106" s="401"/>
      <c r="G106" s="401"/>
      <c r="H106" s="189"/>
      <c r="I106" s="190"/>
      <c r="J106" s="18"/>
    </row>
    <row r="107" spans="1:10" ht="9.75" customHeight="1">
      <c r="A107" s="509"/>
      <c r="B107" s="510"/>
      <c r="C107" s="494"/>
      <c r="D107" s="494"/>
      <c r="E107" s="189"/>
      <c r="F107" s="189"/>
      <c r="G107" s="189"/>
      <c r="H107" s="189"/>
      <c r="I107" s="190"/>
      <c r="J107" s="18"/>
    </row>
    <row r="108" spans="1:10" ht="14.25" customHeight="1">
      <c r="A108" s="509"/>
      <c r="B108" s="510"/>
      <c r="C108" s="494"/>
      <c r="D108" s="494"/>
      <c r="E108" s="191"/>
      <c r="F108" s="191"/>
      <c r="G108" s="191"/>
      <c r="H108" s="191"/>
      <c r="I108" s="192"/>
      <c r="J108" s="18"/>
    </row>
    <row r="109" spans="1:10" ht="14.25" customHeight="1">
      <c r="A109" s="119"/>
      <c r="B109" s="47">
        <v>412000</v>
      </c>
      <c r="C109" s="60"/>
      <c r="D109" s="133" t="s">
        <v>114</v>
      </c>
      <c r="E109" s="135">
        <f>SUM(E110:E112)</f>
        <v>60500</v>
      </c>
      <c r="F109" s="135">
        <f>SUM(F110:F112)</f>
        <v>-10100</v>
      </c>
      <c r="G109" s="135">
        <f>SUM(G110:G112)</f>
        <v>50400</v>
      </c>
      <c r="H109" s="135">
        <f aca="true" t="shared" si="16" ref="H109:H139">G109/E109*100</f>
        <v>83.30578512396694</v>
      </c>
      <c r="I109" s="136">
        <f aca="true" t="shared" si="17" ref="I109:I140">G109/$G$562*100</f>
        <v>0.16050955414012738</v>
      </c>
      <c r="J109" s="18"/>
    </row>
    <row r="110" spans="1:10" ht="12.75" customHeight="1">
      <c r="A110" s="119" t="s">
        <v>21</v>
      </c>
      <c r="B110" s="53"/>
      <c r="C110" s="122">
        <v>412700</v>
      </c>
      <c r="D110" s="82" t="s">
        <v>91</v>
      </c>
      <c r="E110" s="186">
        <v>57100</v>
      </c>
      <c r="F110" s="144">
        <f>G110-E110</f>
        <v>-7100</v>
      </c>
      <c r="G110" s="186">
        <v>50000</v>
      </c>
      <c r="H110" s="138">
        <f t="shared" si="16"/>
        <v>87.56567425569177</v>
      </c>
      <c r="I110" s="205">
        <f t="shared" si="17"/>
        <v>0.15923566878980894</v>
      </c>
      <c r="J110" s="6"/>
    </row>
    <row r="111" spans="1:10" ht="12.75" customHeight="1">
      <c r="A111" s="119" t="s">
        <v>30</v>
      </c>
      <c r="B111" s="53"/>
      <c r="C111" s="122">
        <v>412700</v>
      </c>
      <c r="D111" s="82" t="s">
        <v>385</v>
      </c>
      <c r="E111" s="142">
        <v>3000</v>
      </c>
      <c r="F111" s="144">
        <f>G111-E111</f>
        <v>-3000</v>
      </c>
      <c r="G111" s="142">
        <v>0</v>
      </c>
      <c r="H111" s="138">
        <f t="shared" si="16"/>
        <v>0</v>
      </c>
      <c r="I111" s="205">
        <f t="shared" si="17"/>
        <v>0</v>
      </c>
      <c r="J111" s="6"/>
    </row>
    <row r="112" spans="1:10" ht="12.75" customHeight="1">
      <c r="A112" s="119" t="s">
        <v>21</v>
      </c>
      <c r="B112" s="122"/>
      <c r="C112" s="60">
        <v>412900</v>
      </c>
      <c r="D112" s="82" t="s">
        <v>22</v>
      </c>
      <c r="E112" s="142">
        <v>400</v>
      </c>
      <c r="F112" s="144">
        <f>G112-E112</f>
        <v>0</v>
      </c>
      <c r="G112" s="142">
        <v>400</v>
      </c>
      <c r="H112" s="138">
        <f t="shared" si="16"/>
        <v>100</v>
      </c>
      <c r="I112" s="205">
        <f t="shared" si="17"/>
        <v>0.0012738853503184715</v>
      </c>
      <c r="J112" s="6"/>
    </row>
    <row r="113" spans="1:10" ht="11.25" customHeight="1" hidden="1">
      <c r="A113" s="119"/>
      <c r="B113" s="47">
        <v>414000</v>
      </c>
      <c r="C113" s="60"/>
      <c r="D113" s="133" t="s">
        <v>166</v>
      </c>
      <c r="E113" s="135">
        <f>SUM(E114:E114)</f>
        <v>0</v>
      </c>
      <c r="F113" s="135">
        <f>SUM(F114:F114)</f>
        <v>0</v>
      </c>
      <c r="G113" s="135">
        <f>SUM(G114:G114)</f>
        <v>0</v>
      </c>
      <c r="H113" s="135" t="e">
        <f t="shared" si="16"/>
        <v>#DIV/0!</v>
      </c>
      <c r="I113" s="136">
        <f t="shared" si="17"/>
        <v>0</v>
      </c>
      <c r="J113" s="6"/>
    </row>
    <row r="114" spans="1:10" ht="12.75" customHeight="1" hidden="1">
      <c r="A114" s="119" t="s">
        <v>370</v>
      </c>
      <c r="B114" s="122"/>
      <c r="C114" s="60">
        <v>414100</v>
      </c>
      <c r="D114" s="82" t="s">
        <v>166</v>
      </c>
      <c r="E114" s="142">
        <v>0</v>
      </c>
      <c r="F114" s="142">
        <f>G114-E114</f>
        <v>0</v>
      </c>
      <c r="G114" s="142">
        <v>0</v>
      </c>
      <c r="H114" s="138" t="e">
        <f t="shared" si="16"/>
        <v>#DIV/0!</v>
      </c>
      <c r="I114" s="205">
        <f t="shared" si="17"/>
        <v>0</v>
      </c>
      <c r="J114" s="6"/>
    </row>
    <row r="115" spans="1:10" ht="14.25" customHeight="1">
      <c r="A115" s="119"/>
      <c r="B115" s="47">
        <v>415000</v>
      </c>
      <c r="C115" s="122"/>
      <c r="D115" s="133" t="s">
        <v>128</v>
      </c>
      <c r="E115" s="173">
        <f>SUM(E116:E148)</f>
        <v>1226500</v>
      </c>
      <c r="F115" s="173">
        <f>SUM(F116:F148)</f>
        <v>387667.15</v>
      </c>
      <c r="G115" s="173">
        <f>SUM(G116:G148)</f>
        <v>1614167.15</v>
      </c>
      <c r="H115" s="135">
        <f t="shared" si="16"/>
        <v>131.6075947818997</v>
      </c>
      <c r="I115" s="136">
        <f t="shared" si="17"/>
        <v>5.140659713375796</v>
      </c>
      <c r="J115" s="410"/>
    </row>
    <row r="116" spans="1:10" ht="12.75" customHeight="1">
      <c r="A116" s="119" t="s">
        <v>24</v>
      </c>
      <c r="B116" s="122"/>
      <c r="C116" s="60">
        <v>415200</v>
      </c>
      <c r="D116" s="115" t="s">
        <v>189</v>
      </c>
      <c r="E116" s="186">
        <v>255000</v>
      </c>
      <c r="F116" s="186">
        <f>G116-E116</f>
        <v>66000</v>
      </c>
      <c r="G116" s="186">
        <v>321000</v>
      </c>
      <c r="H116" s="138">
        <f t="shared" si="16"/>
        <v>125.88235294117646</v>
      </c>
      <c r="I116" s="205">
        <f t="shared" si="17"/>
        <v>1.0222929936305734</v>
      </c>
      <c r="J116" s="6"/>
    </row>
    <row r="117" spans="1:10" ht="12.75" customHeight="1">
      <c r="A117" s="119" t="s">
        <v>26</v>
      </c>
      <c r="B117" s="122"/>
      <c r="C117" s="60">
        <v>415200</v>
      </c>
      <c r="D117" s="82" t="s">
        <v>27</v>
      </c>
      <c r="E117" s="144">
        <v>37500</v>
      </c>
      <c r="F117" s="186">
        <f aca="true" t="shared" si="18" ref="F117:F148">G117-E117</f>
        <v>0</v>
      </c>
      <c r="G117" s="144">
        <v>37500</v>
      </c>
      <c r="H117" s="138">
        <f t="shared" si="16"/>
        <v>100</v>
      </c>
      <c r="I117" s="205">
        <f t="shared" si="17"/>
        <v>0.11942675159235669</v>
      </c>
      <c r="J117" s="6"/>
    </row>
    <row r="118" spans="1:10" ht="12" customHeight="1">
      <c r="A118" s="119" t="s">
        <v>26</v>
      </c>
      <c r="B118" s="122"/>
      <c r="C118" s="60">
        <v>415200</v>
      </c>
      <c r="D118" s="82" t="s">
        <v>414</v>
      </c>
      <c r="E118" s="144">
        <v>0</v>
      </c>
      <c r="F118" s="186">
        <f t="shared" si="18"/>
        <v>351</v>
      </c>
      <c r="G118" s="144">
        <v>351</v>
      </c>
      <c r="H118" s="138" t="e">
        <f t="shared" si="16"/>
        <v>#DIV/0!</v>
      </c>
      <c r="I118" s="205">
        <f t="shared" si="17"/>
        <v>0.0011178343949044586</v>
      </c>
      <c r="J118" s="6"/>
    </row>
    <row r="119" spans="1:10" ht="12.75" customHeight="1">
      <c r="A119" s="119" t="s">
        <v>28</v>
      </c>
      <c r="B119" s="122"/>
      <c r="C119" s="60">
        <v>415200</v>
      </c>
      <c r="D119" s="87" t="s">
        <v>224</v>
      </c>
      <c r="E119" s="186">
        <v>400000</v>
      </c>
      <c r="F119" s="186">
        <f t="shared" si="18"/>
        <v>40000</v>
      </c>
      <c r="G119" s="186">
        <v>440000</v>
      </c>
      <c r="H119" s="138">
        <f t="shared" si="16"/>
        <v>110.00000000000001</v>
      </c>
      <c r="I119" s="205">
        <f t="shared" si="17"/>
        <v>1.4012738853503186</v>
      </c>
      <c r="J119" s="6"/>
    </row>
    <row r="120" spans="1:10" ht="14.25" customHeight="1">
      <c r="A120" s="119" t="s">
        <v>28</v>
      </c>
      <c r="B120" s="122"/>
      <c r="C120" s="60">
        <v>415200</v>
      </c>
      <c r="D120" s="87" t="s">
        <v>415</v>
      </c>
      <c r="E120" s="144">
        <v>0</v>
      </c>
      <c r="F120" s="186">
        <f t="shared" si="18"/>
        <v>43100</v>
      </c>
      <c r="G120" s="144">
        <v>43100</v>
      </c>
      <c r="H120" s="138" t="e">
        <f t="shared" si="16"/>
        <v>#DIV/0!</v>
      </c>
      <c r="I120" s="205">
        <f t="shared" si="17"/>
        <v>0.13726114649681528</v>
      </c>
      <c r="J120" s="6"/>
    </row>
    <row r="121" spans="1:10" ht="24" customHeight="1">
      <c r="A121" s="119" t="s">
        <v>28</v>
      </c>
      <c r="B121" s="122"/>
      <c r="C121" s="60">
        <v>415200</v>
      </c>
      <c r="D121" s="87" t="s">
        <v>642</v>
      </c>
      <c r="E121" s="144">
        <v>0</v>
      </c>
      <c r="F121" s="186">
        <f t="shared" si="18"/>
        <v>22269.4</v>
      </c>
      <c r="G121" s="144">
        <v>22269.4</v>
      </c>
      <c r="H121" s="138" t="e">
        <f t="shared" si="16"/>
        <v>#DIV/0!</v>
      </c>
      <c r="I121" s="205">
        <f t="shared" si="17"/>
        <v>0.07092165605095542</v>
      </c>
      <c r="J121" s="6"/>
    </row>
    <row r="122" spans="1:10" ht="15" customHeight="1">
      <c r="A122" s="119" t="s">
        <v>29</v>
      </c>
      <c r="B122" s="122"/>
      <c r="C122" s="60">
        <v>415200</v>
      </c>
      <c r="D122" s="82" t="s">
        <v>102</v>
      </c>
      <c r="E122" s="144">
        <v>50000</v>
      </c>
      <c r="F122" s="186">
        <f t="shared" si="18"/>
        <v>38200</v>
      </c>
      <c r="G122" s="186">
        <f>68900+(14300+5000)</f>
        <v>88200</v>
      </c>
      <c r="H122" s="138">
        <f t="shared" si="16"/>
        <v>176.4</v>
      </c>
      <c r="I122" s="205">
        <f t="shared" si="17"/>
        <v>0.2808917197452229</v>
      </c>
      <c r="J122" s="6"/>
    </row>
    <row r="123" spans="1:10" ht="26.25" customHeight="1">
      <c r="A123" s="119" t="s">
        <v>29</v>
      </c>
      <c r="B123" s="122"/>
      <c r="C123" s="60">
        <v>415200</v>
      </c>
      <c r="D123" s="82" t="s">
        <v>416</v>
      </c>
      <c r="E123" s="144">
        <v>0</v>
      </c>
      <c r="F123" s="186">
        <f t="shared" si="18"/>
        <v>13300</v>
      </c>
      <c r="G123" s="144">
        <v>13300</v>
      </c>
      <c r="H123" s="138" t="e">
        <f t="shared" si="16"/>
        <v>#DIV/0!</v>
      </c>
      <c r="I123" s="205">
        <f t="shared" si="17"/>
        <v>0.04235668789808917</v>
      </c>
      <c r="J123" s="6"/>
    </row>
    <row r="124" spans="1:10" ht="13.5" customHeight="1">
      <c r="A124" s="121" t="s">
        <v>26</v>
      </c>
      <c r="B124" s="122"/>
      <c r="C124" s="60">
        <v>415200</v>
      </c>
      <c r="D124" s="82" t="s">
        <v>317</v>
      </c>
      <c r="E124" s="144">
        <v>6000</v>
      </c>
      <c r="F124" s="186">
        <f t="shared" si="18"/>
        <v>0</v>
      </c>
      <c r="G124" s="144">
        <v>6000</v>
      </c>
      <c r="H124" s="138">
        <f t="shared" si="16"/>
        <v>100</v>
      </c>
      <c r="I124" s="205">
        <f t="shared" si="17"/>
        <v>0.01910828025477707</v>
      </c>
      <c r="J124" s="6"/>
    </row>
    <row r="125" spans="1:10" ht="13.5" customHeight="1">
      <c r="A125" s="121" t="s">
        <v>26</v>
      </c>
      <c r="B125" s="122"/>
      <c r="C125" s="60">
        <v>415200</v>
      </c>
      <c r="D125" s="82" t="s">
        <v>417</v>
      </c>
      <c r="E125" s="144">
        <v>0</v>
      </c>
      <c r="F125" s="186">
        <f t="shared" si="18"/>
        <v>2000</v>
      </c>
      <c r="G125" s="144">
        <v>2000</v>
      </c>
      <c r="H125" s="138" t="e">
        <f t="shared" si="16"/>
        <v>#DIV/0!</v>
      </c>
      <c r="I125" s="205">
        <f t="shared" si="17"/>
        <v>0.006369426751592356</v>
      </c>
      <c r="J125" s="6"/>
    </row>
    <row r="126" spans="1:10" ht="12.75">
      <c r="A126" s="121" t="s">
        <v>26</v>
      </c>
      <c r="B126" s="122"/>
      <c r="C126" s="60">
        <v>415200</v>
      </c>
      <c r="D126" s="82" t="s">
        <v>601</v>
      </c>
      <c r="E126" s="144">
        <v>11000</v>
      </c>
      <c r="F126" s="186">
        <f t="shared" si="18"/>
        <v>0</v>
      </c>
      <c r="G126" s="144">
        <v>11000</v>
      </c>
      <c r="H126" s="138">
        <f t="shared" si="16"/>
        <v>100</v>
      </c>
      <c r="I126" s="205">
        <f t="shared" si="17"/>
        <v>0.03503184713375796</v>
      </c>
      <c r="J126" s="6"/>
    </row>
    <row r="127" spans="1:10" ht="12.75" customHeight="1">
      <c r="A127" s="121" t="s">
        <v>26</v>
      </c>
      <c r="B127" s="122"/>
      <c r="C127" s="60">
        <v>415200</v>
      </c>
      <c r="D127" s="82" t="s">
        <v>602</v>
      </c>
      <c r="E127" s="144">
        <v>0</v>
      </c>
      <c r="F127" s="186">
        <f t="shared" si="18"/>
        <v>350</v>
      </c>
      <c r="G127" s="144">
        <v>350</v>
      </c>
      <c r="H127" s="138" t="e">
        <f t="shared" si="16"/>
        <v>#DIV/0!</v>
      </c>
      <c r="I127" s="205">
        <f t="shared" si="17"/>
        <v>0.0011146496815286624</v>
      </c>
      <c r="J127" s="6"/>
    </row>
    <row r="128" spans="1:10" ht="13.5" customHeight="1">
      <c r="A128" s="121" t="s">
        <v>319</v>
      </c>
      <c r="B128" s="122"/>
      <c r="C128" s="60">
        <v>415200</v>
      </c>
      <c r="D128" s="82" t="s">
        <v>318</v>
      </c>
      <c r="E128" s="144">
        <v>6000</v>
      </c>
      <c r="F128" s="186">
        <f t="shared" si="18"/>
        <v>0</v>
      </c>
      <c r="G128" s="144">
        <v>6000</v>
      </c>
      <c r="H128" s="138">
        <f t="shared" si="16"/>
        <v>100</v>
      </c>
      <c r="I128" s="205">
        <f t="shared" si="17"/>
        <v>0.01910828025477707</v>
      </c>
      <c r="J128" s="6"/>
    </row>
    <row r="129" spans="1:10" ht="12.75" customHeight="1">
      <c r="A129" s="119" t="s">
        <v>29</v>
      </c>
      <c r="B129" s="122"/>
      <c r="C129" s="60">
        <v>415200</v>
      </c>
      <c r="D129" s="82" t="s">
        <v>103</v>
      </c>
      <c r="E129" s="144">
        <v>25000</v>
      </c>
      <c r="F129" s="186">
        <f t="shared" si="18"/>
        <v>0</v>
      </c>
      <c r="G129" s="144">
        <v>25000</v>
      </c>
      <c r="H129" s="138">
        <f t="shared" si="16"/>
        <v>100</v>
      </c>
      <c r="I129" s="205">
        <f t="shared" si="17"/>
        <v>0.07961783439490447</v>
      </c>
      <c r="J129" s="6"/>
    </row>
    <row r="130" spans="1:10" ht="13.5" customHeight="1">
      <c r="A130" s="119" t="s">
        <v>29</v>
      </c>
      <c r="B130" s="122"/>
      <c r="C130" s="60">
        <v>415200</v>
      </c>
      <c r="D130" s="82" t="s">
        <v>418</v>
      </c>
      <c r="E130" s="144">
        <v>0</v>
      </c>
      <c r="F130" s="186">
        <f t="shared" si="18"/>
        <v>4917.6</v>
      </c>
      <c r="G130" s="144">
        <v>4917.6</v>
      </c>
      <c r="H130" s="138" t="e">
        <f t="shared" si="16"/>
        <v>#DIV/0!</v>
      </c>
      <c r="I130" s="205">
        <f t="shared" si="17"/>
        <v>0.015661146496815288</v>
      </c>
      <c r="J130" s="410"/>
    </row>
    <row r="131" spans="1:10" ht="25.5">
      <c r="A131" s="119" t="s">
        <v>29</v>
      </c>
      <c r="B131" s="122"/>
      <c r="C131" s="60">
        <v>415200</v>
      </c>
      <c r="D131" s="82" t="s">
        <v>254</v>
      </c>
      <c r="E131" s="144">
        <v>5000</v>
      </c>
      <c r="F131" s="186">
        <f t="shared" si="18"/>
        <v>0</v>
      </c>
      <c r="G131" s="144">
        <v>5000</v>
      </c>
      <c r="H131" s="138">
        <f t="shared" si="16"/>
        <v>100</v>
      </c>
      <c r="I131" s="205">
        <f t="shared" si="17"/>
        <v>0.01592356687898089</v>
      </c>
      <c r="J131" s="6"/>
    </row>
    <row r="132" spans="1:10" ht="13.5" customHeight="1">
      <c r="A132" s="119" t="s">
        <v>26</v>
      </c>
      <c r="B132" s="122"/>
      <c r="C132" s="60">
        <v>415200</v>
      </c>
      <c r="D132" s="82" t="s">
        <v>394</v>
      </c>
      <c r="E132" s="144">
        <v>1500</v>
      </c>
      <c r="F132" s="186">
        <f t="shared" si="18"/>
        <v>0</v>
      </c>
      <c r="G132" s="144">
        <v>1500</v>
      </c>
      <c r="H132" s="138">
        <f t="shared" si="16"/>
        <v>100</v>
      </c>
      <c r="I132" s="205">
        <f t="shared" si="17"/>
        <v>0.004777070063694267</v>
      </c>
      <c r="J132" s="6"/>
    </row>
    <row r="133" spans="1:10" ht="12.75" customHeight="1">
      <c r="A133" s="119" t="s">
        <v>29</v>
      </c>
      <c r="B133" s="122"/>
      <c r="C133" s="60">
        <v>415200</v>
      </c>
      <c r="D133" s="82" t="s">
        <v>88</v>
      </c>
      <c r="E133" s="144">
        <v>30000</v>
      </c>
      <c r="F133" s="186">
        <f t="shared" si="18"/>
        <v>0</v>
      </c>
      <c r="G133" s="144">
        <v>30000</v>
      </c>
      <c r="H133" s="138">
        <f t="shared" si="16"/>
        <v>100</v>
      </c>
      <c r="I133" s="205">
        <f t="shared" si="17"/>
        <v>0.09554140127388536</v>
      </c>
      <c r="J133" s="6"/>
    </row>
    <row r="134" spans="1:10" ht="15.75" customHeight="1">
      <c r="A134" s="119" t="s">
        <v>153</v>
      </c>
      <c r="B134" s="122"/>
      <c r="C134" s="60">
        <v>415200</v>
      </c>
      <c r="D134" s="82" t="s">
        <v>547</v>
      </c>
      <c r="E134" s="144">
        <v>10000</v>
      </c>
      <c r="F134" s="186">
        <f t="shared" si="18"/>
        <v>0</v>
      </c>
      <c r="G134" s="144">
        <v>10000</v>
      </c>
      <c r="H134" s="138">
        <f t="shared" si="16"/>
        <v>100</v>
      </c>
      <c r="I134" s="205">
        <f t="shared" si="17"/>
        <v>0.03184713375796178</v>
      </c>
      <c r="J134" s="6"/>
    </row>
    <row r="135" spans="1:10" ht="12.75" customHeight="1">
      <c r="A135" s="119" t="s">
        <v>39</v>
      </c>
      <c r="B135" s="47"/>
      <c r="C135" s="60">
        <v>415200</v>
      </c>
      <c r="D135" s="69" t="s">
        <v>180</v>
      </c>
      <c r="E135" s="186">
        <v>150000</v>
      </c>
      <c r="F135" s="186">
        <f t="shared" si="18"/>
        <v>0</v>
      </c>
      <c r="G135" s="186">
        <v>150000</v>
      </c>
      <c r="H135" s="138">
        <f t="shared" si="16"/>
        <v>100</v>
      </c>
      <c r="I135" s="205">
        <f t="shared" si="17"/>
        <v>0.47770700636942676</v>
      </c>
      <c r="J135" s="6"/>
    </row>
    <row r="136" spans="1:10" ht="26.25" customHeight="1">
      <c r="A136" s="119" t="s">
        <v>39</v>
      </c>
      <c r="B136" s="47"/>
      <c r="C136" s="60">
        <v>415200</v>
      </c>
      <c r="D136" s="87" t="s">
        <v>419</v>
      </c>
      <c r="E136" s="144">
        <v>0</v>
      </c>
      <c r="F136" s="186">
        <f t="shared" si="18"/>
        <v>27200</v>
      </c>
      <c r="G136" s="144">
        <v>27200</v>
      </c>
      <c r="H136" s="138" t="e">
        <f t="shared" si="16"/>
        <v>#DIV/0!</v>
      </c>
      <c r="I136" s="205">
        <f t="shared" si="17"/>
        <v>0.08662420382165605</v>
      </c>
      <c r="J136" s="6"/>
    </row>
    <row r="137" spans="1:10" ht="12.75">
      <c r="A137" s="121" t="s">
        <v>378</v>
      </c>
      <c r="B137" s="193"/>
      <c r="C137" s="195">
        <v>415200</v>
      </c>
      <c r="D137" s="87" t="s">
        <v>506</v>
      </c>
      <c r="E137" s="144">
        <v>45000</v>
      </c>
      <c r="F137" s="186">
        <f t="shared" si="18"/>
        <v>0</v>
      </c>
      <c r="G137" s="144">
        <v>45000</v>
      </c>
      <c r="H137" s="138">
        <f t="shared" si="16"/>
        <v>100</v>
      </c>
      <c r="I137" s="205">
        <f t="shared" si="17"/>
        <v>0.14331210191082802</v>
      </c>
      <c r="J137" s="6"/>
    </row>
    <row r="138" spans="1:10" ht="25.5" customHeight="1">
      <c r="A138" s="121" t="s">
        <v>26</v>
      </c>
      <c r="B138" s="193"/>
      <c r="C138" s="90">
        <v>415200</v>
      </c>
      <c r="D138" s="87" t="s">
        <v>196</v>
      </c>
      <c r="E138" s="144">
        <v>70000</v>
      </c>
      <c r="F138" s="186">
        <f t="shared" si="18"/>
        <v>0</v>
      </c>
      <c r="G138" s="144">
        <v>70000</v>
      </c>
      <c r="H138" s="138">
        <f t="shared" si="16"/>
        <v>100</v>
      </c>
      <c r="I138" s="205">
        <f t="shared" si="17"/>
        <v>0.2229299363057325</v>
      </c>
      <c r="J138" s="6"/>
    </row>
    <row r="139" spans="1:10" ht="25.5" customHeight="1">
      <c r="A139" s="121" t="s">
        <v>26</v>
      </c>
      <c r="B139" s="193"/>
      <c r="C139" s="90">
        <v>415200</v>
      </c>
      <c r="D139" s="87" t="s">
        <v>420</v>
      </c>
      <c r="E139" s="144">
        <v>0</v>
      </c>
      <c r="F139" s="186">
        <f t="shared" si="18"/>
        <v>2400</v>
      </c>
      <c r="G139" s="144">
        <v>2400</v>
      </c>
      <c r="H139" s="138" t="e">
        <f t="shared" si="16"/>
        <v>#DIV/0!</v>
      </c>
      <c r="I139" s="205">
        <f t="shared" si="17"/>
        <v>0.007643312101910829</v>
      </c>
      <c r="J139" s="6"/>
    </row>
    <row r="140" spans="1:10" ht="25.5" customHeight="1">
      <c r="A140" s="238" t="s">
        <v>472</v>
      </c>
      <c r="B140" s="122"/>
      <c r="C140" s="195">
        <v>415200</v>
      </c>
      <c r="D140" s="82" t="s">
        <v>471</v>
      </c>
      <c r="E140" s="144">
        <v>10000</v>
      </c>
      <c r="F140" s="186">
        <f t="shared" si="18"/>
        <v>0</v>
      </c>
      <c r="G140" s="144">
        <v>10000</v>
      </c>
      <c r="H140" s="138">
        <f aca="true" t="shared" si="19" ref="H140:H162">G140/E140*100</f>
        <v>100</v>
      </c>
      <c r="I140" s="205">
        <f t="shared" si="17"/>
        <v>0.03184713375796178</v>
      </c>
      <c r="J140" s="6"/>
    </row>
    <row r="141" spans="1:10" ht="25.5">
      <c r="A141" s="119" t="s">
        <v>154</v>
      </c>
      <c r="B141" s="120"/>
      <c r="C141" s="60">
        <v>415200</v>
      </c>
      <c r="D141" s="115" t="s">
        <v>603</v>
      </c>
      <c r="E141" s="144">
        <v>27000</v>
      </c>
      <c r="F141" s="186">
        <f t="shared" si="18"/>
        <v>64500</v>
      </c>
      <c r="G141" s="144">
        <v>91500</v>
      </c>
      <c r="H141" s="138">
        <f t="shared" si="19"/>
        <v>338.88888888888886</v>
      </c>
      <c r="I141" s="205">
        <f aca="true" t="shared" si="20" ref="I141:I162">G141/$G$562*100</f>
        <v>0.2914012738853503</v>
      </c>
      <c r="J141" s="6"/>
    </row>
    <row r="142" spans="1:10" ht="12.75" customHeight="1">
      <c r="A142" s="119" t="s">
        <v>155</v>
      </c>
      <c r="B142" s="120"/>
      <c r="C142" s="60">
        <v>415200</v>
      </c>
      <c r="D142" s="115" t="s">
        <v>397</v>
      </c>
      <c r="E142" s="186">
        <v>11000</v>
      </c>
      <c r="F142" s="186">
        <f t="shared" si="18"/>
        <v>1918</v>
      </c>
      <c r="G142" s="186">
        <v>12918</v>
      </c>
      <c r="H142" s="138">
        <f t="shared" si="19"/>
        <v>117.43636363636362</v>
      </c>
      <c r="I142" s="205">
        <f t="shared" si="20"/>
        <v>0.04114012738853503</v>
      </c>
      <c r="J142" s="6"/>
    </row>
    <row r="143" spans="1:10" ht="12.75" customHeight="1">
      <c r="A143" s="119" t="s">
        <v>155</v>
      </c>
      <c r="B143" s="120"/>
      <c r="C143" s="60">
        <v>415200</v>
      </c>
      <c r="D143" s="115" t="s">
        <v>515</v>
      </c>
      <c r="E143" s="186">
        <v>30000</v>
      </c>
      <c r="F143" s="186">
        <f t="shared" si="18"/>
        <v>15000</v>
      </c>
      <c r="G143" s="186">
        <v>45000</v>
      </c>
      <c r="H143" s="138">
        <f t="shared" si="19"/>
        <v>150</v>
      </c>
      <c r="I143" s="205">
        <f t="shared" si="20"/>
        <v>0.14331210191082802</v>
      </c>
      <c r="J143" s="6"/>
    </row>
    <row r="144" spans="1:10" ht="12.75" customHeight="1">
      <c r="A144" s="119" t="s">
        <v>155</v>
      </c>
      <c r="B144" s="120"/>
      <c r="C144" s="60">
        <v>415200</v>
      </c>
      <c r="D144" s="115" t="s">
        <v>430</v>
      </c>
      <c r="E144" s="144">
        <v>9500</v>
      </c>
      <c r="F144" s="186">
        <f t="shared" si="18"/>
        <v>21082</v>
      </c>
      <c r="G144" s="186">
        <f>7582+23000</f>
        <v>30582</v>
      </c>
      <c r="H144" s="138">
        <f t="shared" si="19"/>
        <v>321.9157894736842</v>
      </c>
      <c r="I144" s="205">
        <f t="shared" si="20"/>
        <v>0.09739490445859872</v>
      </c>
      <c r="J144" s="6"/>
    </row>
    <row r="145" spans="1:10" ht="12.75" customHeight="1">
      <c r="A145" s="119" t="s">
        <v>434</v>
      </c>
      <c r="B145" s="120"/>
      <c r="C145" s="60">
        <v>415200</v>
      </c>
      <c r="D145" s="87" t="s">
        <v>433</v>
      </c>
      <c r="E145" s="144">
        <v>10000</v>
      </c>
      <c r="F145" s="186">
        <f t="shared" si="18"/>
        <v>-4000</v>
      </c>
      <c r="G145" s="144">
        <v>6000</v>
      </c>
      <c r="H145" s="138">
        <f t="shared" si="19"/>
        <v>60</v>
      </c>
      <c r="I145" s="205">
        <f t="shared" si="20"/>
        <v>0.01910828025477707</v>
      </c>
      <c r="J145" s="6"/>
    </row>
    <row r="146" spans="1:10" ht="25.5" customHeight="1">
      <c r="A146" s="119" t="s">
        <v>153</v>
      </c>
      <c r="B146" s="120"/>
      <c r="C146" s="60">
        <v>415200</v>
      </c>
      <c r="D146" s="87" t="s">
        <v>521</v>
      </c>
      <c r="E146" s="144">
        <v>27000</v>
      </c>
      <c r="F146" s="186">
        <f t="shared" si="18"/>
        <v>17300</v>
      </c>
      <c r="G146" s="144">
        <v>44300</v>
      </c>
      <c r="H146" s="138">
        <f t="shared" si="19"/>
        <v>164.07407407407408</v>
      </c>
      <c r="I146" s="205">
        <f t="shared" si="20"/>
        <v>0.1410828025477707</v>
      </c>
      <c r="J146" s="6"/>
    </row>
    <row r="147" spans="1:10" ht="12.75" customHeight="1">
      <c r="A147" s="119" t="s">
        <v>143</v>
      </c>
      <c r="B147" s="120"/>
      <c r="C147" s="60">
        <v>415200</v>
      </c>
      <c r="D147" s="87" t="s">
        <v>581</v>
      </c>
      <c r="E147" s="144">
        <v>0</v>
      </c>
      <c r="F147" s="186">
        <f t="shared" si="18"/>
        <v>2000</v>
      </c>
      <c r="G147" s="144">
        <v>2000</v>
      </c>
      <c r="H147" s="138" t="e">
        <f t="shared" si="19"/>
        <v>#DIV/0!</v>
      </c>
      <c r="I147" s="205">
        <f t="shared" si="20"/>
        <v>0.006369426751592356</v>
      </c>
      <c r="J147" s="6"/>
    </row>
    <row r="148" spans="1:10" ht="25.5" customHeight="1">
      <c r="A148" s="238" t="s">
        <v>29</v>
      </c>
      <c r="B148" s="120"/>
      <c r="C148" s="60">
        <v>415200</v>
      </c>
      <c r="D148" s="87" t="s">
        <v>596</v>
      </c>
      <c r="E148" s="144">
        <v>0</v>
      </c>
      <c r="F148" s="186">
        <f t="shared" si="18"/>
        <v>9779.15</v>
      </c>
      <c r="G148" s="144">
        <v>9779.15</v>
      </c>
      <c r="H148" s="138" t="e">
        <f t="shared" si="19"/>
        <v>#DIV/0!</v>
      </c>
      <c r="I148" s="205">
        <f t="shared" si="20"/>
        <v>0.031143789808917195</v>
      </c>
      <c r="J148" s="6"/>
    </row>
    <row r="149" spans="1:10" ht="14.25" customHeight="1">
      <c r="A149" s="119"/>
      <c r="B149" s="47">
        <v>416000</v>
      </c>
      <c r="C149" s="53"/>
      <c r="D149" s="133" t="s">
        <v>1</v>
      </c>
      <c r="E149" s="173">
        <f>SUM(E150:E157)</f>
        <v>714800</v>
      </c>
      <c r="F149" s="173">
        <f>SUM(F150:F157)</f>
        <v>-500</v>
      </c>
      <c r="G149" s="173">
        <f>SUM(G150:G157)</f>
        <v>714300</v>
      </c>
      <c r="H149" s="135">
        <f t="shared" si="19"/>
        <v>99.9300503637381</v>
      </c>
      <c r="I149" s="136">
        <f t="shared" si="20"/>
        <v>2.2748407643312105</v>
      </c>
      <c r="J149" s="6"/>
    </row>
    <row r="150" spans="1:10" ht="12.75" customHeight="1">
      <c r="A150" s="121" t="s">
        <v>143</v>
      </c>
      <c r="B150" s="122"/>
      <c r="C150" s="60">
        <v>416100</v>
      </c>
      <c r="D150" s="82" t="s">
        <v>169</v>
      </c>
      <c r="E150" s="144">
        <v>219800</v>
      </c>
      <c r="F150" s="144">
        <f>G150-E150</f>
        <v>18300</v>
      </c>
      <c r="G150" s="144">
        <v>238100</v>
      </c>
      <c r="H150" s="138">
        <f t="shared" si="19"/>
        <v>108.32575068243857</v>
      </c>
      <c r="I150" s="205">
        <f t="shared" si="20"/>
        <v>0.7582802547770701</v>
      </c>
      <c r="J150" s="6"/>
    </row>
    <row r="151" spans="1:10" ht="12.75" customHeight="1">
      <c r="A151" s="121" t="s">
        <v>143</v>
      </c>
      <c r="B151" s="122"/>
      <c r="C151" s="60">
        <v>416100</v>
      </c>
      <c r="D151" s="82" t="s">
        <v>371</v>
      </c>
      <c r="E151" s="144">
        <v>25000</v>
      </c>
      <c r="F151" s="144">
        <f aca="true" t="shared" si="21" ref="F151:F157">G151-E151</f>
        <v>0</v>
      </c>
      <c r="G151" s="144">
        <v>25000</v>
      </c>
      <c r="H151" s="138">
        <f t="shared" si="19"/>
        <v>100</v>
      </c>
      <c r="I151" s="205">
        <f t="shared" si="20"/>
        <v>0.07961783439490447</v>
      </c>
      <c r="J151" s="6"/>
    </row>
    <row r="152" spans="1:10" ht="12.75" customHeight="1">
      <c r="A152" s="121" t="s">
        <v>26</v>
      </c>
      <c r="B152" s="196"/>
      <c r="C152" s="195">
        <v>416100</v>
      </c>
      <c r="D152" s="115" t="s">
        <v>92</v>
      </c>
      <c r="E152" s="144">
        <v>30000</v>
      </c>
      <c r="F152" s="144">
        <f t="shared" si="21"/>
        <v>0</v>
      </c>
      <c r="G152" s="144">
        <v>30000</v>
      </c>
      <c r="H152" s="138">
        <f t="shared" si="19"/>
        <v>100</v>
      </c>
      <c r="I152" s="205">
        <f t="shared" si="20"/>
        <v>0.09554140127388536</v>
      </c>
      <c r="J152" s="6"/>
    </row>
    <row r="153" spans="1:10" ht="12.75" customHeight="1">
      <c r="A153" s="121" t="s">
        <v>532</v>
      </c>
      <c r="B153" s="196"/>
      <c r="C153" s="60">
        <v>416100</v>
      </c>
      <c r="D153" s="115" t="s">
        <v>531</v>
      </c>
      <c r="E153" s="144">
        <v>10000</v>
      </c>
      <c r="F153" s="144">
        <f t="shared" si="21"/>
        <v>0</v>
      </c>
      <c r="G153" s="144">
        <v>10000</v>
      </c>
      <c r="H153" s="138">
        <f t="shared" si="19"/>
        <v>100</v>
      </c>
      <c r="I153" s="205">
        <f t="shared" si="20"/>
        <v>0.03184713375796178</v>
      </c>
      <c r="J153" s="6"/>
    </row>
    <row r="154" spans="1:10" ht="12.75" customHeight="1">
      <c r="A154" s="121" t="s">
        <v>26</v>
      </c>
      <c r="B154" s="196"/>
      <c r="C154" s="60">
        <v>416100</v>
      </c>
      <c r="D154" s="115" t="s">
        <v>629</v>
      </c>
      <c r="E154" s="144">
        <v>35000</v>
      </c>
      <c r="F154" s="144">
        <f t="shared" si="21"/>
        <v>-15000</v>
      </c>
      <c r="G154" s="144">
        <v>20000</v>
      </c>
      <c r="H154" s="138">
        <f t="shared" si="19"/>
        <v>57.14285714285714</v>
      </c>
      <c r="I154" s="205">
        <f t="shared" si="20"/>
        <v>0.06369426751592357</v>
      </c>
      <c r="J154" s="6"/>
    </row>
    <row r="155" spans="1:10" s="358" customFormat="1" ht="12.75" customHeight="1">
      <c r="A155" s="238" t="s">
        <v>153</v>
      </c>
      <c r="B155" s="356"/>
      <c r="C155" s="195">
        <v>416100</v>
      </c>
      <c r="D155" s="115" t="s">
        <v>505</v>
      </c>
      <c r="E155" s="138">
        <v>130000</v>
      </c>
      <c r="F155" s="144">
        <f t="shared" si="21"/>
        <v>0</v>
      </c>
      <c r="G155" s="138">
        <v>130000</v>
      </c>
      <c r="H155" s="138">
        <f t="shared" si="19"/>
        <v>100</v>
      </c>
      <c r="I155" s="205">
        <f t="shared" si="20"/>
        <v>0.4140127388535032</v>
      </c>
      <c r="J155" s="357"/>
    </row>
    <row r="156" spans="1:10" ht="12.75" customHeight="1">
      <c r="A156" s="121" t="s">
        <v>153</v>
      </c>
      <c r="B156" s="196"/>
      <c r="C156" s="60">
        <v>416100</v>
      </c>
      <c r="D156" s="115" t="s">
        <v>226</v>
      </c>
      <c r="E156" s="142">
        <v>15000</v>
      </c>
      <c r="F156" s="144">
        <f t="shared" si="21"/>
        <v>0</v>
      </c>
      <c r="G156" s="142">
        <v>15000</v>
      </c>
      <c r="H156" s="138">
        <f t="shared" si="19"/>
        <v>100</v>
      </c>
      <c r="I156" s="205">
        <f t="shared" si="20"/>
        <v>0.04777070063694268</v>
      </c>
      <c r="J156" s="6"/>
    </row>
    <row r="157" spans="1:10" ht="12.75" customHeight="1">
      <c r="A157" s="197" t="s">
        <v>24</v>
      </c>
      <c r="B157" s="196"/>
      <c r="C157" s="60">
        <v>416100</v>
      </c>
      <c r="D157" s="115" t="s">
        <v>513</v>
      </c>
      <c r="E157" s="142">
        <v>250000</v>
      </c>
      <c r="F157" s="144">
        <f t="shared" si="21"/>
        <v>-3800</v>
      </c>
      <c r="G157" s="142">
        <v>246200</v>
      </c>
      <c r="H157" s="138">
        <f t="shared" si="19"/>
        <v>98.48</v>
      </c>
      <c r="I157" s="205">
        <f t="shared" si="20"/>
        <v>0.7840764331210192</v>
      </c>
      <c r="J157" s="6"/>
    </row>
    <row r="158" spans="1:10" ht="12.75" customHeight="1">
      <c r="A158" s="197"/>
      <c r="B158" s="47">
        <v>487000</v>
      </c>
      <c r="C158" s="60"/>
      <c r="D158" s="198" t="s">
        <v>315</v>
      </c>
      <c r="E158" s="139">
        <f>SUM(E159:E161)</f>
        <v>18000</v>
      </c>
      <c r="F158" s="139">
        <f>SUM(F159:F161)</f>
        <v>15640.4</v>
      </c>
      <c r="G158" s="139">
        <f>SUM(G159:G161)</f>
        <v>33640.4</v>
      </c>
      <c r="H158" s="135">
        <f t="shared" si="19"/>
        <v>186.89111111111112</v>
      </c>
      <c r="I158" s="136">
        <f t="shared" si="20"/>
        <v>0.10713503184713376</v>
      </c>
      <c r="J158" s="6"/>
    </row>
    <row r="159" spans="1:10" ht="12.75" customHeight="1">
      <c r="A159" s="197" t="s">
        <v>24</v>
      </c>
      <c r="B159" s="47"/>
      <c r="C159" s="60">
        <v>487900</v>
      </c>
      <c r="D159" s="82" t="s">
        <v>140</v>
      </c>
      <c r="E159" s="144">
        <v>8000</v>
      </c>
      <c r="F159" s="144">
        <f>G159-E159</f>
        <v>12000</v>
      </c>
      <c r="G159" s="186">
        <v>20000</v>
      </c>
      <c r="H159" s="138">
        <f t="shared" si="19"/>
        <v>250</v>
      </c>
      <c r="I159" s="205">
        <f t="shared" si="20"/>
        <v>0.06369426751592357</v>
      </c>
      <c r="J159" s="6"/>
    </row>
    <row r="160" spans="1:10" ht="12.75" customHeight="1">
      <c r="A160" s="121" t="s">
        <v>24</v>
      </c>
      <c r="B160" s="196"/>
      <c r="C160" s="60">
        <v>487900</v>
      </c>
      <c r="D160" s="82" t="s">
        <v>421</v>
      </c>
      <c r="E160" s="144">
        <v>0</v>
      </c>
      <c r="F160" s="144">
        <f>G160-E160</f>
        <v>3640.4</v>
      </c>
      <c r="G160" s="144">
        <v>3640.4</v>
      </c>
      <c r="H160" s="138" t="e">
        <f t="shared" si="19"/>
        <v>#DIV/0!</v>
      </c>
      <c r="I160" s="205">
        <f t="shared" si="20"/>
        <v>0.011593630573248408</v>
      </c>
      <c r="J160" s="6"/>
    </row>
    <row r="161" spans="1:10" ht="12.75" customHeight="1">
      <c r="A161" s="119" t="s">
        <v>24</v>
      </c>
      <c r="B161" s="122"/>
      <c r="C161" s="60">
        <v>487900</v>
      </c>
      <c r="D161" s="82" t="s">
        <v>253</v>
      </c>
      <c r="E161" s="144">
        <v>10000</v>
      </c>
      <c r="F161" s="144">
        <f>G161-E161</f>
        <v>0</v>
      </c>
      <c r="G161" s="144">
        <v>10000</v>
      </c>
      <c r="H161" s="138">
        <f t="shared" si="19"/>
        <v>100</v>
      </c>
      <c r="I161" s="205">
        <f t="shared" si="20"/>
        <v>0.03184713375796178</v>
      </c>
      <c r="J161" s="6"/>
    </row>
    <row r="162" spans="1:10" ht="28.5" customHeight="1">
      <c r="A162" s="505"/>
      <c r="B162" s="506"/>
      <c r="C162" s="491" t="s">
        <v>194</v>
      </c>
      <c r="D162" s="496"/>
      <c r="E162" s="157">
        <f>E109+E113+E115+E149+E158</f>
        <v>2019800</v>
      </c>
      <c r="F162" s="157">
        <f>F109+F113+F115+F149+F158</f>
        <v>392707.55000000005</v>
      </c>
      <c r="G162" s="157">
        <f>G109+G113+G115+G149+G158</f>
        <v>2412507.55</v>
      </c>
      <c r="H162" s="354">
        <f t="shared" si="19"/>
        <v>119.44289286067927</v>
      </c>
      <c r="I162" s="385">
        <f t="shared" si="20"/>
        <v>7.683145063694267</v>
      </c>
      <c r="J162" s="6"/>
    </row>
    <row r="163" spans="1:10" ht="9.75" customHeight="1">
      <c r="A163" s="505"/>
      <c r="B163" s="506"/>
      <c r="C163" s="494" t="s">
        <v>487</v>
      </c>
      <c r="D163" s="494"/>
      <c r="E163" s="187"/>
      <c r="F163" s="187"/>
      <c r="G163" s="187"/>
      <c r="H163" s="187"/>
      <c r="I163" s="188"/>
      <c r="J163" s="6"/>
    </row>
    <row r="164" spans="1:10" ht="9.75" customHeight="1">
      <c r="A164" s="505"/>
      <c r="B164" s="506"/>
      <c r="C164" s="494"/>
      <c r="D164" s="494"/>
      <c r="E164" s="189"/>
      <c r="F164" s="189"/>
      <c r="G164" s="189"/>
      <c r="H164" s="189"/>
      <c r="I164" s="190"/>
      <c r="J164" s="6"/>
    </row>
    <row r="165" spans="1:11" ht="21.75" customHeight="1">
      <c r="A165" s="505"/>
      <c r="B165" s="506"/>
      <c r="C165" s="494"/>
      <c r="D165" s="494"/>
      <c r="E165" s="191"/>
      <c r="F165" s="191"/>
      <c r="G165" s="191"/>
      <c r="H165" s="191"/>
      <c r="I165" s="192"/>
      <c r="J165" s="6"/>
      <c r="K165" s="1"/>
    </row>
    <row r="166" spans="1:10" ht="14.25" customHeight="1">
      <c r="A166" s="119"/>
      <c r="B166" s="47">
        <v>412000</v>
      </c>
      <c r="C166" s="53"/>
      <c r="D166" s="133" t="s">
        <v>114</v>
      </c>
      <c r="E166" s="135">
        <f>SUM(E167:E171)</f>
        <v>46900</v>
      </c>
      <c r="F166" s="135">
        <f>SUM(F167:F171)</f>
        <v>72994</v>
      </c>
      <c r="G166" s="135">
        <f>SUM(G167:G171)</f>
        <v>119894</v>
      </c>
      <c r="H166" s="135">
        <f aca="true" t="shared" si="22" ref="H166:H177">G166/E166*100</f>
        <v>255.63752665245204</v>
      </c>
      <c r="I166" s="136">
        <f aca="true" t="shared" si="23" ref="I166:I177">G166/$G$562*100</f>
        <v>0.381828025477707</v>
      </c>
      <c r="J166" s="6"/>
    </row>
    <row r="167" spans="1:10" ht="24.75" customHeight="1">
      <c r="A167" s="119" t="s">
        <v>31</v>
      </c>
      <c r="B167" s="47"/>
      <c r="C167" s="60">
        <v>412700</v>
      </c>
      <c r="D167" s="82" t="s">
        <v>160</v>
      </c>
      <c r="E167" s="142">
        <v>12500</v>
      </c>
      <c r="F167" s="142">
        <f>G167-E167</f>
        <v>0</v>
      </c>
      <c r="G167" s="142">
        <v>12500</v>
      </c>
      <c r="H167" s="138">
        <f t="shared" si="22"/>
        <v>100</v>
      </c>
      <c r="I167" s="205">
        <f t="shared" si="23"/>
        <v>0.039808917197452234</v>
      </c>
      <c r="J167" s="6"/>
    </row>
    <row r="168" spans="1:10" ht="25.5" customHeight="1">
      <c r="A168" s="119" t="s">
        <v>31</v>
      </c>
      <c r="B168" s="47"/>
      <c r="C168" s="60">
        <v>412700</v>
      </c>
      <c r="D168" s="82" t="s">
        <v>94</v>
      </c>
      <c r="E168" s="186">
        <v>15000</v>
      </c>
      <c r="F168" s="142">
        <f>G168-E168</f>
        <v>0</v>
      </c>
      <c r="G168" s="186">
        <v>15000</v>
      </c>
      <c r="H168" s="138">
        <f t="shared" si="22"/>
        <v>100</v>
      </c>
      <c r="I168" s="205">
        <f t="shared" si="23"/>
        <v>0.04777070063694268</v>
      </c>
      <c r="J168" s="6"/>
    </row>
    <row r="169" spans="1:10" ht="12.75">
      <c r="A169" s="119" t="s">
        <v>21</v>
      </c>
      <c r="B169" s="122"/>
      <c r="C169" s="60">
        <v>412900</v>
      </c>
      <c r="D169" s="82" t="s">
        <v>22</v>
      </c>
      <c r="E169" s="142">
        <v>400</v>
      </c>
      <c r="F169" s="142">
        <f>G169-E169</f>
        <v>0</v>
      </c>
      <c r="G169" s="142">
        <v>400</v>
      </c>
      <c r="H169" s="138">
        <f t="shared" si="22"/>
        <v>100</v>
      </c>
      <c r="I169" s="205">
        <f t="shared" si="23"/>
        <v>0.0012738853503184715</v>
      </c>
      <c r="J169" s="6"/>
    </row>
    <row r="170" spans="1:10" ht="25.5" customHeight="1">
      <c r="A170" s="119" t="s">
        <v>21</v>
      </c>
      <c r="B170" s="122"/>
      <c r="C170" s="60">
        <v>412900</v>
      </c>
      <c r="D170" s="82" t="s">
        <v>93</v>
      </c>
      <c r="E170" s="142">
        <v>19000</v>
      </c>
      <c r="F170" s="142">
        <f>G170-E170</f>
        <v>0</v>
      </c>
      <c r="G170" s="142">
        <v>19000</v>
      </c>
      <c r="H170" s="138">
        <f t="shared" si="22"/>
        <v>100</v>
      </c>
      <c r="I170" s="205">
        <f t="shared" si="23"/>
        <v>0.06050955414012739</v>
      </c>
      <c r="J170" s="6"/>
    </row>
    <row r="171" spans="1:10" ht="13.5" customHeight="1">
      <c r="A171" s="238" t="s">
        <v>31</v>
      </c>
      <c r="B171" s="122"/>
      <c r="C171" s="60">
        <v>412900</v>
      </c>
      <c r="D171" s="82" t="s">
        <v>550</v>
      </c>
      <c r="E171" s="142">
        <v>0</v>
      </c>
      <c r="F171" s="142">
        <f>G171-E171</f>
        <v>72994</v>
      </c>
      <c r="G171" s="142">
        <v>72994</v>
      </c>
      <c r="H171" s="138" t="e">
        <f t="shared" si="22"/>
        <v>#DIV/0!</v>
      </c>
      <c r="I171" s="205">
        <f t="shared" si="23"/>
        <v>0.23246496815286624</v>
      </c>
      <c r="J171" s="6"/>
    </row>
    <row r="172" spans="1:10" ht="8.25" customHeight="1" hidden="1">
      <c r="A172" s="119"/>
      <c r="B172" s="47">
        <v>414000</v>
      </c>
      <c r="C172" s="60"/>
      <c r="D172" s="133" t="s">
        <v>166</v>
      </c>
      <c r="E172" s="135">
        <f>SUM(E173)</f>
        <v>0</v>
      </c>
      <c r="F172" s="135"/>
      <c r="G172" s="135">
        <f>SUM(G173)</f>
        <v>0</v>
      </c>
      <c r="H172" s="135" t="e">
        <f t="shared" si="22"/>
        <v>#DIV/0!</v>
      </c>
      <c r="I172" s="136">
        <f t="shared" si="23"/>
        <v>0</v>
      </c>
      <c r="J172" s="6"/>
    </row>
    <row r="173" spans="1:10" ht="15.75" customHeight="1" hidden="1">
      <c r="A173" s="119" t="s">
        <v>31</v>
      </c>
      <c r="B173" s="122"/>
      <c r="C173" s="60">
        <v>414100</v>
      </c>
      <c r="D173" s="82" t="s">
        <v>382</v>
      </c>
      <c r="E173" s="143">
        <v>0</v>
      </c>
      <c r="F173" s="143"/>
      <c r="G173" s="143">
        <v>0</v>
      </c>
      <c r="H173" s="135" t="e">
        <f t="shared" si="22"/>
        <v>#DIV/0!</v>
      </c>
      <c r="I173" s="136">
        <f t="shared" si="23"/>
        <v>0</v>
      </c>
      <c r="J173" s="6"/>
    </row>
    <row r="174" spans="1:10" ht="12.75">
      <c r="A174" s="119"/>
      <c r="B174" s="47">
        <v>416100</v>
      </c>
      <c r="C174" s="60"/>
      <c r="D174" s="133" t="s">
        <v>1</v>
      </c>
      <c r="E174" s="135">
        <f>SUM(E175:E176)</f>
        <v>107000</v>
      </c>
      <c r="F174" s="135">
        <f>SUM(F175:F176)</f>
        <v>-59994</v>
      </c>
      <c r="G174" s="135">
        <f>SUM(G175:G176)</f>
        <v>47006</v>
      </c>
      <c r="H174" s="135">
        <f t="shared" si="22"/>
        <v>43.93084112149533</v>
      </c>
      <c r="I174" s="136">
        <f t="shared" si="23"/>
        <v>0.14970063694267516</v>
      </c>
      <c r="J174" s="6"/>
    </row>
    <row r="175" spans="1:10" ht="12.75">
      <c r="A175" s="119" t="s">
        <v>31</v>
      </c>
      <c r="B175" s="122"/>
      <c r="C175" s="60">
        <v>416100</v>
      </c>
      <c r="D175" s="82" t="s">
        <v>382</v>
      </c>
      <c r="E175" s="63">
        <v>7000</v>
      </c>
      <c r="F175" s="63">
        <f>G175-E175</f>
        <v>0</v>
      </c>
      <c r="G175" s="63">
        <v>7000</v>
      </c>
      <c r="H175" s="138">
        <f t="shared" si="22"/>
        <v>100</v>
      </c>
      <c r="I175" s="205">
        <f t="shared" si="23"/>
        <v>0.022292993630573247</v>
      </c>
      <c r="J175" s="6"/>
    </row>
    <row r="176" spans="1:10" ht="25.5">
      <c r="A176" s="218" t="s">
        <v>31</v>
      </c>
      <c r="B176" s="122"/>
      <c r="C176" s="60">
        <v>416100</v>
      </c>
      <c r="D176" s="82" t="s">
        <v>551</v>
      </c>
      <c r="E176" s="63">
        <v>100000</v>
      </c>
      <c r="F176" s="63">
        <f>G176-E176</f>
        <v>-59994</v>
      </c>
      <c r="G176" s="63">
        <v>40006</v>
      </c>
      <c r="H176" s="138">
        <f t="shared" si="22"/>
        <v>40.006</v>
      </c>
      <c r="I176" s="205">
        <f t="shared" si="23"/>
        <v>0.12740764331210191</v>
      </c>
      <c r="J176" s="6"/>
    </row>
    <row r="177" spans="1:10" ht="30" customHeight="1">
      <c r="A177" s="505"/>
      <c r="B177" s="506"/>
      <c r="C177" s="491" t="s">
        <v>197</v>
      </c>
      <c r="D177" s="496"/>
      <c r="E177" s="157">
        <f>E166+E172+E174</f>
        <v>153900</v>
      </c>
      <c r="F177" s="157">
        <f>F166+F172+F174</f>
        <v>13000</v>
      </c>
      <c r="G177" s="157">
        <f>G166+G172+G174</f>
        <v>166900</v>
      </c>
      <c r="H177" s="354">
        <f t="shared" si="22"/>
        <v>108.44704353476284</v>
      </c>
      <c r="I177" s="385">
        <f t="shared" si="23"/>
        <v>0.5315286624203821</v>
      </c>
      <c r="J177" s="6"/>
    </row>
    <row r="178" spans="1:10" ht="9.75" customHeight="1">
      <c r="A178" s="505"/>
      <c r="B178" s="506"/>
      <c r="C178" s="494" t="s">
        <v>486</v>
      </c>
      <c r="D178" s="494"/>
      <c r="E178" s="187"/>
      <c r="F178" s="187"/>
      <c r="G178" s="187"/>
      <c r="H178" s="187"/>
      <c r="I178" s="188"/>
      <c r="J178" s="6"/>
    </row>
    <row r="179" spans="1:10" ht="9.75" customHeight="1">
      <c r="A179" s="505"/>
      <c r="B179" s="506"/>
      <c r="C179" s="494"/>
      <c r="D179" s="494"/>
      <c r="E179" s="189"/>
      <c r="F179" s="189"/>
      <c r="G179" s="189"/>
      <c r="H179" s="189"/>
      <c r="I179" s="190"/>
      <c r="J179" s="6"/>
    </row>
    <row r="180" spans="1:10" ht="9.75" customHeight="1">
      <c r="A180" s="505"/>
      <c r="B180" s="506"/>
      <c r="C180" s="494"/>
      <c r="D180" s="494"/>
      <c r="E180" s="189"/>
      <c r="F180" s="189"/>
      <c r="G180" s="189"/>
      <c r="H180" s="189"/>
      <c r="I180" s="190"/>
      <c r="J180" s="6"/>
    </row>
    <row r="181" spans="1:10" ht="12" customHeight="1">
      <c r="A181" s="505"/>
      <c r="B181" s="506"/>
      <c r="C181" s="494"/>
      <c r="D181" s="494"/>
      <c r="E181" s="191"/>
      <c r="F181" s="191"/>
      <c r="G181" s="191"/>
      <c r="H181" s="191"/>
      <c r="I181" s="192"/>
      <c r="J181" s="6"/>
    </row>
    <row r="182" spans="1:10" ht="14.25" customHeight="1">
      <c r="A182" s="119"/>
      <c r="B182" s="47">
        <v>412000</v>
      </c>
      <c r="C182" s="72"/>
      <c r="D182" s="133" t="s">
        <v>114</v>
      </c>
      <c r="E182" s="135">
        <f>SUM(E183:E189)</f>
        <v>185300</v>
      </c>
      <c r="F182" s="135">
        <f>SUM(F183:F189)</f>
        <v>39000</v>
      </c>
      <c r="G182" s="135">
        <f>SUM(G183:G189)</f>
        <v>224300</v>
      </c>
      <c r="H182" s="135">
        <f aca="true" t="shared" si="24" ref="H182:H213">G182/E182*100</f>
        <v>121.04695089044793</v>
      </c>
      <c r="I182" s="136">
        <f aca="true" t="shared" si="25" ref="I182:I213">G182/$G$562*100</f>
        <v>0.7143312101910828</v>
      </c>
      <c r="J182" s="6"/>
    </row>
    <row r="183" spans="1:10" ht="14.25" customHeight="1">
      <c r="A183" s="119" t="s">
        <v>21</v>
      </c>
      <c r="B183" s="47"/>
      <c r="C183" s="60">
        <v>412100</v>
      </c>
      <c r="D183" s="82" t="s">
        <v>216</v>
      </c>
      <c r="E183" s="186">
        <v>40000</v>
      </c>
      <c r="F183" s="144">
        <f>G183-E183</f>
        <v>15000</v>
      </c>
      <c r="G183" s="186">
        <v>55000</v>
      </c>
      <c r="H183" s="138">
        <f t="shared" si="24"/>
        <v>137.5</v>
      </c>
      <c r="I183" s="205">
        <f t="shared" si="25"/>
        <v>0.17515923566878983</v>
      </c>
      <c r="J183" s="6"/>
    </row>
    <row r="184" spans="1:10" ht="25.5">
      <c r="A184" s="119" t="s">
        <v>21</v>
      </c>
      <c r="B184" s="47"/>
      <c r="C184" s="60">
        <v>412200</v>
      </c>
      <c r="D184" s="82" t="s">
        <v>422</v>
      </c>
      <c r="E184" s="144">
        <v>60000</v>
      </c>
      <c r="F184" s="144">
        <f aca="true" t="shared" si="26" ref="F184:F189">G184-E184</f>
        <v>12000</v>
      </c>
      <c r="G184" s="186">
        <v>72000</v>
      </c>
      <c r="H184" s="138">
        <f t="shared" si="24"/>
        <v>120</v>
      </c>
      <c r="I184" s="205">
        <f t="shared" si="25"/>
        <v>0.22929936305732482</v>
      </c>
      <c r="J184" s="6"/>
    </row>
    <row r="185" spans="1:10" ht="12.75" customHeight="1">
      <c r="A185" s="121" t="s">
        <v>21</v>
      </c>
      <c r="B185" s="122"/>
      <c r="C185" s="193">
        <v>412700</v>
      </c>
      <c r="D185" s="87" t="s">
        <v>161</v>
      </c>
      <c r="E185" s="144">
        <v>5000</v>
      </c>
      <c r="F185" s="144">
        <f t="shared" si="26"/>
        <v>2000</v>
      </c>
      <c r="G185" s="186">
        <v>7000</v>
      </c>
      <c r="H185" s="138">
        <f t="shared" si="24"/>
        <v>140</v>
      </c>
      <c r="I185" s="205">
        <f t="shared" si="25"/>
        <v>0.022292993630573247</v>
      </c>
      <c r="J185" s="6"/>
    </row>
    <row r="186" spans="1:10" ht="12.75" customHeight="1">
      <c r="A186" s="121" t="s">
        <v>21</v>
      </c>
      <c r="B186" s="122"/>
      <c r="C186" s="193">
        <v>412700</v>
      </c>
      <c r="D186" s="87" t="s">
        <v>121</v>
      </c>
      <c r="E186" s="144">
        <v>900</v>
      </c>
      <c r="F186" s="144">
        <f t="shared" si="26"/>
        <v>100</v>
      </c>
      <c r="G186" s="186">
        <v>1000</v>
      </c>
      <c r="H186" s="138">
        <f t="shared" si="24"/>
        <v>111.11111111111111</v>
      </c>
      <c r="I186" s="205">
        <f t="shared" si="25"/>
        <v>0.003184713375796178</v>
      </c>
      <c r="J186" s="6"/>
    </row>
    <row r="187" spans="1:10" ht="12.75" customHeight="1">
      <c r="A187" s="119" t="s">
        <v>21</v>
      </c>
      <c r="B187" s="122"/>
      <c r="C187" s="60">
        <v>412900</v>
      </c>
      <c r="D187" s="82" t="s">
        <v>217</v>
      </c>
      <c r="E187" s="186">
        <v>77000</v>
      </c>
      <c r="F187" s="144">
        <f t="shared" si="26"/>
        <v>10000</v>
      </c>
      <c r="G187" s="186">
        <v>87000</v>
      </c>
      <c r="H187" s="138">
        <f t="shared" si="24"/>
        <v>112.98701298701299</v>
      </c>
      <c r="I187" s="205">
        <f t="shared" si="25"/>
        <v>0.2770700636942675</v>
      </c>
      <c r="J187" s="6"/>
    </row>
    <row r="188" spans="1:10" ht="12.75" customHeight="1">
      <c r="A188" s="119" t="s">
        <v>21</v>
      </c>
      <c r="B188" s="122"/>
      <c r="C188" s="60">
        <v>412900</v>
      </c>
      <c r="D188" s="82" t="s">
        <v>0</v>
      </c>
      <c r="E188" s="142">
        <v>400</v>
      </c>
      <c r="F188" s="144">
        <f t="shared" si="26"/>
        <v>0</v>
      </c>
      <c r="G188" s="142">
        <v>400</v>
      </c>
      <c r="H188" s="138">
        <f t="shared" si="24"/>
        <v>100</v>
      </c>
      <c r="I188" s="205">
        <f t="shared" si="25"/>
        <v>0.0012738853503184715</v>
      </c>
      <c r="J188" s="6"/>
    </row>
    <row r="189" spans="1:10" ht="12.75" customHeight="1">
      <c r="A189" s="119" t="s">
        <v>21</v>
      </c>
      <c r="B189" s="122"/>
      <c r="C189" s="60">
        <v>412900</v>
      </c>
      <c r="D189" s="82" t="s">
        <v>522</v>
      </c>
      <c r="E189" s="142">
        <v>2000</v>
      </c>
      <c r="F189" s="144">
        <f t="shared" si="26"/>
        <v>-100</v>
      </c>
      <c r="G189" s="142">
        <v>1900</v>
      </c>
      <c r="H189" s="138">
        <f t="shared" si="24"/>
        <v>95</v>
      </c>
      <c r="I189" s="205">
        <f t="shared" si="25"/>
        <v>0.006050955414012738</v>
      </c>
      <c r="J189" s="6"/>
    </row>
    <row r="190" spans="1:10" ht="15" customHeight="1">
      <c r="A190" s="119"/>
      <c r="B190" s="47"/>
      <c r="C190" s="60"/>
      <c r="D190" s="133" t="s">
        <v>178</v>
      </c>
      <c r="E190" s="173">
        <f>SUM(E191:E198)</f>
        <v>622000</v>
      </c>
      <c r="F190" s="173">
        <f>SUM(F191:F198)</f>
        <v>298600</v>
      </c>
      <c r="G190" s="173">
        <f>SUM(G191:G198)</f>
        <v>920600</v>
      </c>
      <c r="H190" s="135">
        <f t="shared" si="24"/>
        <v>148.0064308681672</v>
      </c>
      <c r="I190" s="136">
        <f t="shared" si="25"/>
        <v>2.931847133757962</v>
      </c>
      <c r="J190" s="6"/>
    </row>
    <row r="191" spans="1:10" ht="50.25" customHeight="1">
      <c r="A191" s="121" t="s">
        <v>33</v>
      </c>
      <c r="B191" s="122"/>
      <c r="C191" s="90">
        <v>412800</v>
      </c>
      <c r="D191" s="87" t="s">
        <v>478</v>
      </c>
      <c r="E191" s="138">
        <v>120000</v>
      </c>
      <c r="F191" s="142">
        <f>G191-E191</f>
        <v>20000</v>
      </c>
      <c r="G191" s="138">
        <v>140000</v>
      </c>
      <c r="H191" s="138">
        <f t="shared" si="24"/>
        <v>116.66666666666667</v>
      </c>
      <c r="I191" s="205">
        <f t="shared" si="25"/>
        <v>0.445859872611465</v>
      </c>
      <c r="J191" s="6"/>
    </row>
    <row r="192" spans="1:10" ht="40.5" customHeight="1">
      <c r="A192" s="121" t="s">
        <v>33</v>
      </c>
      <c r="B192" s="122"/>
      <c r="C192" s="90">
        <v>412800</v>
      </c>
      <c r="D192" s="87" t="s">
        <v>435</v>
      </c>
      <c r="E192" s="144">
        <v>120000</v>
      </c>
      <c r="F192" s="142">
        <f aca="true" t="shared" si="27" ref="F192:F198">G192-E192</f>
        <v>40000</v>
      </c>
      <c r="G192" s="186">
        <v>160000</v>
      </c>
      <c r="H192" s="138">
        <f t="shared" si="24"/>
        <v>133.33333333333331</v>
      </c>
      <c r="I192" s="205">
        <f t="shared" si="25"/>
        <v>0.5095541401273885</v>
      </c>
      <c r="J192" s="6"/>
    </row>
    <row r="193" spans="1:10" ht="14.25" customHeight="1">
      <c r="A193" s="121" t="s">
        <v>33</v>
      </c>
      <c r="B193" s="122"/>
      <c r="C193" s="90">
        <v>412800</v>
      </c>
      <c r="D193" s="87" t="s">
        <v>436</v>
      </c>
      <c r="E193" s="186">
        <v>100000</v>
      </c>
      <c r="F193" s="142">
        <f t="shared" si="27"/>
        <v>21400</v>
      </c>
      <c r="G193" s="186">
        <v>121400</v>
      </c>
      <c r="H193" s="138">
        <f t="shared" si="24"/>
        <v>121.39999999999999</v>
      </c>
      <c r="I193" s="205">
        <f t="shared" si="25"/>
        <v>0.386624203821656</v>
      </c>
      <c r="J193" s="6"/>
    </row>
    <row r="194" spans="1:10" ht="25.5">
      <c r="A194" s="121" t="s">
        <v>33</v>
      </c>
      <c r="B194" s="122"/>
      <c r="C194" s="90">
        <v>412800</v>
      </c>
      <c r="D194" s="87" t="s">
        <v>107</v>
      </c>
      <c r="E194" s="144">
        <v>180000</v>
      </c>
      <c r="F194" s="142">
        <f t="shared" si="27"/>
        <v>190000</v>
      </c>
      <c r="G194" s="144">
        <v>370000</v>
      </c>
      <c r="H194" s="138">
        <f t="shared" si="24"/>
        <v>205.55555555555554</v>
      </c>
      <c r="I194" s="205">
        <f t="shared" si="25"/>
        <v>1.1783439490445862</v>
      </c>
      <c r="J194" s="6"/>
    </row>
    <row r="195" spans="1:10" ht="12.75">
      <c r="A195" s="121" t="s">
        <v>33</v>
      </c>
      <c r="B195" s="122"/>
      <c r="C195" s="90">
        <v>412800</v>
      </c>
      <c r="D195" s="87" t="s">
        <v>514</v>
      </c>
      <c r="E195" s="186">
        <v>50000</v>
      </c>
      <c r="F195" s="142">
        <f t="shared" si="27"/>
        <v>20200</v>
      </c>
      <c r="G195" s="186">
        <v>70200</v>
      </c>
      <c r="H195" s="138">
        <f t="shared" si="24"/>
        <v>140.39999999999998</v>
      </c>
      <c r="I195" s="205">
        <f t="shared" si="25"/>
        <v>0.22356687898089173</v>
      </c>
      <c r="J195" s="6"/>
    </row>
    <row r="196" spans="1:10" ht="12.75">
      <c r="A196" s="121" t="s">
        <v>33</v>
      </c>
      <c r="B196" s="122"/>
      <c r="C196" s="122">
        <v>412800</v>
      </c>
      <c r="D196" s="69" t="s">
        <v>171</v>
      </c>
      <c r="E196" s="186">
        <v>12000</v>
      </c>
      <c r="F196" s="142">
        <f t="shared" si="27"/>
        <v>0</v>
      </c>
      <c r="G196" s="186">
        <v>12000</v>
      </c>
      <c r="H196" s="138">
        <f t="shared" si="24"/>
        <v>100</v>
      </c>
      <c r="I196" s="205">
        <f t="shared" si="25"/>
        <v>0.03821656050955414</v>
      </c>
      <c r="J196" s="6"/>
    </row>
    <row r="197" spans="1:10" ht="12.75">
      <c r="A197" s="121" t="s">
        <v>33</v>
      </c>
      <c r="B197" s="122"/>
      <c r="C197" s="90">
        <v>412800</v>
      </c>
      <c r="D197" s="87" t="s">
        <v>34</v>
      </c>
      <c r="E197" s="186">
        <v>20000</v>
      </c>
      <c r="F197" s="142">
        <f t="shared" si="27"/>
        <v>1000</v>
      </c>
      <c r="G197" s="186">
        <v>21000</v>
      </c>
      <c r="H197" s="138">
        <f t="shared" si="24"/>
        <v>105</v>
      </c>
      <c r="I197" s="205">
        <f t="shared" si="25"/>
        <v>0.06687898089171974</v>
      </c>
      <c r="J197" s="6"/>
    </row>
    <row r="198" spans="1:10" ht="12.75" customHeight="1">
      <c r="A198" s="121" t="s">
        <v>33</v>
      </c>
      <c r="B198" s="122"/>
      <c r="C198" s="90">
        <v>412800</v>
      </c>
      <c r="D198" s="87" t="s">
        <v>110</v>
      </c>
      <c r="E198" s="186">
        <v>20000</v>
      </c>
      <c r="F198" s="142">
        <f t="shared" si="27"/>
        <v>6000</v>
      </c>
      <c r="G198" s="186">
        <v>26000</v>
      </c>
      <c r="H198" s="138">
        <f t="shared" si="24"/>
        <v>130</v>
      </c>
      <c r="I198" s="205">
        <f t="shared" si="25"/>
        <v>0.08280254777070063</v>
      </c>
      <c r="J198" s="6"/>
    </row>
    <row r="199" spans="1:10" ht="12.75" customHeight="1">
      <c r="A199" s="119"/>
      <c r="B199" s="122"/>
      <c r="C199" s="89"/>
      <c r="D199" s="86" t="s">
        <v>35</v>
      </c>
      <c r="E199" s="173">
        <f>SUM(E200:E204)</f>
        <v>184000</v>
      </c>
      <c r="F199" s="173">
        <f>SUM(F200:F204)</f>
        <v>80500</v>
      </c>
      <c r="G199" s="173">
        <f>SUM(G200:G204)</f>
        <v>264500</v>
      </c>
      <c r="H199" s="135">
        <f t="shared" si="24"/>
        <v>143.75</v>
      </c>
      <c r="I199" s="136">
        <f t="shared" si="25"/>
        <v>0.8423566878980892</v>
      </c>
      <c r="J199" s="6"/>
    </row>
    <row r="200" spans="1:10" ht="24.75" customHeight="1">
      <c r="A200" s="119" t="s">
        <v>36</v>
      </c>
      <c r="B200" s="122"/>
      <c r="C200" s="90">
        <v>412500</v>
      </c>
      <c r="D200" s="87" t="s">
        <v>369</v>
      </c>
      <c r="E200" s="138">
        <v>115000</v>
      </c>
      <c r="F200" s="142">
        <f>G200-E200</f>
        <v>70000</v>
      </c>
      <c r="G200" s="138">
        <v>185000</v>
      </c>
      <c r="H200" s="138">
        <f t="shared" si="24"/>
        <v>160.8695652173913</v>
      </c>
      <c r="I200" s="205">
        <f t="shared" si="25"/>
        <v>0.5891719745222931</v>
      </c>
      <c r="J200" s="6"/>
    </row>
    <row r="201" spans="1:10" ht="24.75" customHeight="1">
      <c r="A201" s="119" t="s">
        <v>36</v>
      </c>
      <c r="B201" s="122"/>
      <c r="C201" s="90">
        <v>412500</v>
      </c>
      <c r="D201" s="69" t="s">
        <v>165</v>
      </c>
      <c r="E201" s="142">
        <v>20000</v>
      </c>
      <c r="F201" s="142">
        <f>G201-E201</f>
        <v>5300</v>
      </c>
      <c r="G201" s="142">
        <v>25300</v>
      </c>
      <c r="H201" s="138">
        <f t="shared" si="24"/>
        <v>126.49999999999999</v>
      </c>
      <c r="I201" s="205">
        <f t="shared" si="25"/>
        <v>0.08057324840764331</v>
      </c>
      <c r="J201" s="6"/>
    </row>
    <row r="202" spans="1:10" ht="15.75" customHeight="1">
      <c r="A202" s="119" t="s">
        <v>36</v>
      </c>
      <c r="B202" s="122"/>
      <c r="C202" s="90">
        <v>412500</v>
      </c>
      <c r="D202" s="87" t="s">
        <v>175</v>
      </c>
      <c r="E202" s="144">
        <v>20000</v>
      </c>
      <c r="F202" s="142">
        <f>G202-E202</f>
        <v>0</v>
      </c>
      <c r="G202" s="144">
        <v>20000</v>
      </c>
      <c r="H202" s="138">
        <f t="shared" si="24"/>
        <v>100</v>
      </c>
      <c r="I202" s="205">
        <f t="shared" si="25"/>
        <v>0.06369426751592357</v>
      </c>
      <c r="J202" s="6"/>
    </row>
    <row r="203" spans="1:10" ht="12.75">
      <c r="A203" s="119" t="s">
        <v>36</v>
      </c>
      <c r="B203" s="122"/>
      <c r="C203" s="90">
        <v>412500</v>
      </c>
      <c r="D203" s="87" t="s">
        <v>37</v>
      </c>
      <c r="E203" s="138">
        <v>27000</v>
      </c>
      <c r="F203" s="142">
        <f>G203-E203</f>
        <v>5200</v>
      </c>
      <c r="G203" s="138">
        <v>32200</v>
      </c>
      <c r="H203" s="138">
        <f t="shared" si="24"/>
        <v>119.25925925925927</v>
      </c>
      <c r="I203" s="205">
        <f t="shared" si="25"/>
        <v>0.10254777070063693</v>
      </c>
      <c r="J203" s="6"/>
    </row>
    <row r="204" spans="1:10" ht="15.75" customHeight="1">
      <c r="A204" s="119" t="s">
        <v>36</v>
      </c>
      <c r="B204" s="122"/>
      <c r="C204" s="90">
        <v>412500</v>
      </c>
      <c r="D204" s="87" t="s">
        <v>38</v>
      </c>
      <c r="E204" s="144">
        <v>2000</v>
      </c>
      <c r="F204" s="142">
        <f>G204-E204</f>
        <v>0</v>
      </c>
      <c r="G204" s="144">
        <v>2000</v>
      </c>
      <c r="H204" s="138">
        <f t="shared" si="24"/>
        <v>100</v>
      </c>
      <c r="I204" s="205">
        <f t="shared" si="25"/>
        <v>0.006369426751592356</v>
      </c>
      <c r="J204" s="6"/>
    </row>
    <row r="205" spans="1:10" ht="12.75" hidden="1">
      <c r="A205" s="119"/>
      <c r="B205" s="47">
        <v>414000</v>
      </c>
      <c r="C205" s="90"/>
      <c r="D205" s="86" t="s">
        <v>166</v>
      </c>
      <c r="E205" s="173">
        <f>SUM(E206)</f>
        <v>0</v>
      </c>
      <c r="F205" s="173"/>
      <c r="G205" s="173">
        <f>SUM(G206)</f>
        <v>0</v>
      </c>
      <c r="H205" s="135" t="e">
        <f t="shared" si="24"/>
        <v>#DIV/0!</v>
      </c>
      <c r="I205" s="136">
        <f t="shared" si="25"/>
        <v>0</v>
      </c>
      <c r="J205" s="6"/>
    </row>
    <row r="206" spans="1:10" ht="15.75" customHeight="1" hidden="1">
      <c r="A206" s="119" t="s">
        <v>26</v>
      </c>
      <c r="B206" s="122"/>
      <c r="C206" s="90">
        <v>414100</v>
      </c>
      <c r="D206" s="87" t="s">
        <v>402</v>
      </c>
      <c r="E206" s="142">
        <v>0</v>
      </c>
      <c r="F206" s="142"/>
      <c r="G206" s="142">
        <v>0</v>
      </c>
      <c r="H206" s="138" t="e">
        <f t="shared" si="24"/>
        <v>#DIV/0!</v>
      </c>
      <c r="I206" s="205">
        <f t="shared" si="25"/>
        <v>0</v>
      </c>
      <c r="J206" s="6"/>
    </row>
    <row r="207" spans="1:10" ht="12.75">
      <c r="A207" s="119"/>
      <c r="B207" s="47">
        <v>415000</v>
      </c>
      <c r="C207" s="90"/>
      <c r="D207" s="86" t="s">
        <v>128</v>
      </c>
      <c r="E207" s="173">
        <f>SUM(E208:E209)</f>
        <v>20000</v>
      </c>
      <c r="F207" s="173">
        <f>SUM(F208:F209)</f>
        <v>1799</v>
      </c>
      <c r="G207" s="173">
        <f>SUM(G208:G209)</f>
        <v>21799</v>
      </c>
      <c r="H207" s="135">
        <f t="shared" si="24"/>
        <v>108.995</v>
      </c>
      <c r="I207" s="136">
        <f t="shared" si="25"/>
        <v>0.0694235668789809</v>
      </c>
      <c r="J207" s="6"/>
    </row>
    <row r="208" spans="1:10" ht="12.75">
      <c r="A208" s="119" t="s">
        <v>33</v>
      </c>
      <c r="B208" s="47"/>
      <c r="C208" s="90">
        <v>415200</v>
      </c>
      <c r="D208" s="87" t="s">
        <v>512</v>
      </c>
      <c r="E208" s="186">
        <v>20000</v>
      </c>
      <c r="F208" s="186">
        <f>G208-E208</f>
        <v>0</v>
      </c>
      <c r="G208" s="186">
        <v>20000</v>
      </c>
      <c r="H208" s="138">
        <f t="shared" si="24"/>
        <v>100</v>
      </c>
      <c r="I208" s="205">
        <f t="shared" si="25"/>
        <v>0.06369426751592357</v>
      </c>
      <c r="J208" s="6"/>
    </row>
    <row r="209" spans="1:10" ht="12.75">
      <c r="A209" s="238" t="s">
        <v>529</v>
      </c>
      <c r="B209" s="47"/>
      <c r="C209" s="90">
        <v>415200</v>
      </c>
      <c r="D209" s="87" t="s">
        <v>650</v>
      </c>
      <c r="E209" s="186">
        <v>0</v>
      </c>
      <c r="F209" s="186">
        <f>G209-E209</f>
        <v>1799</v>
      </c>
      <c r="G209" s="186">
        <v>1799</v>
      </c>
      <c r="H209" s="138" t="e">
        <f t="shared" si="24"/>
        <v>#DIV/0!</v>
      </c>
      <c r="I209" s="205">
        <f t="shared" si="25"/>
        <v>0.005729299363057325</v>
      </c>
      <c r="J209" s="6"/>
    </row>
    <row r="210" spans="1:10" ht="12.75">
      <c r="A210" s="121"/>
      <c r="B210" s="47">
        <v>416000</v>
      </c>
      <c r="C210" s="90"/>
      <c r="D210" s="305" t="s">
        <v>1</v>
      </c>
      <c r="E210" s="173">
        <f>SUM(E211)</f>
        <v>600</v>
      </c>
      <c r="F210" s="173">
        <f>SUM(F211)</f>
        <v>0</v>
      </c>
      <c r="G210" s="173">
        <f>SUM(G211)</f>
        <v>600</v>
      </c>
      <c r="H210" s="135">
        <f t="shared" si="24"/>
        <v>100</v>
      </c>
      <c r="I210" s="136">
        <f t="shared" si="25"/>
        <v>0.0019108280254777072</v>
      </c>
      <c r="J210" s="6"/>
    </row>
    <row r="211" spans="1:10" ht="12.75">
      <c r="A211" s="121" t="s">
        <v>26</v>
      </c>
      <c r="B211" s="122"/>
      <c r="C211" s="90">
        <v>416100</v>
      </c>
      <c r="D211" s="115" t="s">
        <v>402</v>
      </c>
      <c r="E211" s="144">
        <v>600</v>
      </c>
      <c r="F211" s="144">
        <f>G211-E211</f>
        <v>0</v>
      </c>
      <c r="G211" s="144">
        <v>600</v>
      </c>
      <c r="H211" s="138">
        <f t="shared" si="24"/>
        <v>100</v>
      </c>
      <c r="I211" s="205">
        <f t="shared" si="25"/>
        <v>0.0019108280254777072</v>
      </c>
      <c r="J211" s="6"/>
    </row>
    <row r="212" spans="1:10" ht="12.75">
      <c r="A212" s="119"/>
      <c r="B212" s="47">
        <v>511000</v>
      </c>
      <c r="C212" s="122"/>
      <c r="D212" s="133" t="s">
        <v>132</v>
      </c>
      <c r="E212" s="173">
        <f>SUM(E213:E214)</f>
        <v>5000</v>
      </c>
      <c r="F212" s="173">
        <f>SUM(F213:F214)</f>
        <v>67200</v>
      </c>
      <c r="G212" s="173">
        <f>SUM(G213:G214)</f>
        <v>72200</v>
      </c>
      <c r="H212" s="135">
        <f t="shared" si="24"/>
        <v>1444</v>
      </c>
      <c r="I212" s="136">
        <f t="shared" si="25"/>
        <v>0.22993630573248405</v>
      </c>
      <c r="J212" s="6"/>
    </row>
    <row r="213" spans="1:10" ht="23.25" customHeight="1">
      <c r="A213" s="119" t="s">
        <v>33</v>
      </c>
      <c r="B213" s="122"/>
      <c r="C213" s="196">
        <v>511200</v>
      </c>
      <c r="D213" s="115" t="s">
        <v>604</v>
      </c>
      <c r="E213" s="186">
        <v>5000</v>
      </c>
      <c r="F213" s="144">
        <f>G213-E213</f>
        <v>5200</v>
      </c>
      <c r="G213" s="186">
        <v>10200</v>
      </c>
      <c r="H213" s="138">
        <f t="shared" si="24"/>
        <v>204</v>
      </c>
      <c r="I213" s="205">
        <f t="shared" si="25"/>
        <v>0.03248407643312102</v>
      </c>
      <c r="J213" s="6"/>
    </row>
    <row r="214" spans="1:10" ht="18.75" customHeight="1">
      <c r="A214" s="119" t="s">
        <v>33</v>
      </c>
      <c r="B214" s="122"/>
      <c r="C214" s="196">
        <v>511300</v>
      </c>
      <c r="D214" s="115" t="s">
        <v>530</v>
      </c>
      <c r="E214" s="186">
        <v>0</v>
      </c>
      <c r="F214" s="186">
        <f>G214-E214</f>
        <v>62000</v>
      </c>
      <c r="G214" s="186">
        <v>62000</v>
      </c>
      <c r="H214" s="138" t="e">
        <f aca="true" t="shared" si="28" ref="H214:H234">G214/E214*100</f>
        <v>#DIV/0!</v>
      </c>
      <c r="I214" s="205">
        <f aca="true" t="shared" si="29" ref="I214:I234">G214/$G$562*100</f>
        <v>0.19745222929936304</v>
      </c>
      <c r="J214" s="6"/>
    </row>
    <row r="215" spans="1:10" ht="16.5" customHeight="1">
      <c r="A215" s="119"/>
      <c r="B215" s="122"/>
      <c r="C215" s="79"/>
      <c r="D215" s="86" t="s">
        <v>372</v>
      </c>
      <c r="E215" s="173">
        <f>E216+E229</f>
        <v>2233000</v>
      </c>
      <c r="F215" s="173">
        <f>F216+F229</f>
        <v>2040348.1400000001</v>
      </c>
      <c r="G215" s="173">
        <f>G216+G229</f>
        <v>4273348.14</v>
      </c>
      <c r="H215" s="135">
        <f t="shared" si="28"/>
        <v>191.37250962830274</v>
      </c>
      <c r="I215" s="136">
        <f t="shared" si="29"/>
        <v>13.609388980891717</v>
      </c>
      <c r="J215" s="6"/>
    </row>
    <row r="216" spans="1:10" ht="14.25" customHeight="1">
      <c r="A216" s="119"/>
      <c r="B216" s="122"/>
      <c r="C216" s="79"/>
      <c r="D216" s="86" t="s">
        <v>271</v>
      </c>
      <c r="E216" s="199">
        <f>SUM(E217:E228)</f>
        <v>933000</v>
      </c>
      <c r="F216" s="199">
        <f>SUM(F217:F228)</f>
        <v>1665674.79</v>
      </c>
      <c r="G216" s="199">
        <f>SUM(G217:G228)</f>
        <v>2598674.79</v>
      </c>
      <c r="H216" s="200">
        <f t="shared" si="28"/>
        <v>278.5289163987138</v>
      </c>
      <c r="I216" s="383">
        <f t="shared" si="29"/>
        <v>8.276034363057324</v>
      </c>
      <c r="J216" s="6"/>
    </row>
    <row r="217" spans="1:11" ht="12.75" customHeight="1">
      <c r="A217" s="201" t="s">
        <v>33</v>
      </c>
      <c r="B217" s="202"/>
      <c r="C217" s="203">
        <v>511100</v>
      </c>
      <c r="D217" s="204" t="s">
        <v>549</v>
      </c>
      <c r="E217" s="144">
        <v>100000</v>
      </c>
      <c r="F217" s="144">
        <f>G217-E217</f>
        <v>-100000</v>
      </c>
      <c r="G217" s="186">
        <v>0</v>
      </c>
      <c r="H217" s="138">
        <f t="shared" si="28"/>
        <v>0</v>
      </c>
      <c r="I217" s="205">
        <f t="shared" si="29"/>
        <v>0</v>
      </c>
      <c r="J217" s="18"/>
      <c r="K217" s="1"/>
    </row>
    <row r="218" spans="1:10" ht="12.75" customHeight="1">
      <c r="A218" s="201" t="s">
        <v>29</v>
      </c>
      <c r="B218" s="202"/>
      <c r="C218" s="203">
        <v>511100</v>
      </c>
      <c r="D218" s="204" t="s">
        <v>554</v>
      </c>
      <c r="E218" s="144">
        <v>40000</v>
      </c>
      <c r="F218" s="144">
        <f aca="true" t="shared" si="30" ref="F218:F228">G218-E218</f>
        <v>-30000</v>
      </c>
      <c r="G218" s="186">
        <v>10000</v>
      </c>
      <c r="H218" s="138">
        <f t="shared" si="28"/>
        <v>25</v>
      </c>
      <c r="I218" s="205">
        <f t="shared" si="29"/>
        <v>0.03184713375796178</v>
      </c>
      <c r="J218" s="18"/>
    </row>
    <row r="219" spans="1:10" ht="38.25">
      <c r="A219" s="201" t="s">
        <v>33</v>
      </c>
      <c r="B219" s="202"/>
      <c r="C219" s="203">
        <v>511200</v>
      </c>
      <c r="D219" s="204" t="s">
        <v>265</v>
      </c>
      <c r="E219" s="186">
        <v>693000</v>
      </c>
      <c r="F219" s="144">
        <f t="shared" si="30"/>
        <v>840000</v>
      </c>
      <c r="G219" s="186">
        <v>1533000</v>
      </c>
      <c r="H219" s="138">
        <f t="shared" si="28"/>
        <v>221.2121212121212</v>
      </c>
      <c r="I219" s="205">
        <f t="shared" si="29"/>
        <v>4.882165605095541</v>
      </c>
      <c r="J219" s="309"/>
    </row>
    <row r="220" spans="1:11" ht="44.25" customHeight="1">
      <c r="A220" s="201" t="s">
        <v>33</v>
      </c>
      <c r="B220" s="202"/>
      <c r="C220" s="203">
        <v>511200</v>
      </c>
      <c r="D220" s="362" t="s">
        <v>605</v>
      </c>
      <c r="E220" s="186">
        <v>0</v>
      </c>
      <c r="F220" s="144">
        <f t="shared" si="30"/>
        <v>122304.44</v>
      </c>
      <c r="G220" s="186">
        <v>122304.44</v>
      </c>
      <c r="H220" s="138" t="e">
        <f t="shared" si="28"/>
        <v>#DIV/0!</v>
      </c>
      <c r="I220" s="205">
        <f t="shared" si="29"/>
        <v>0.3895045859872612</v>
      </c>
      <c r="J220" s="309"/>
      <c r="K220" s="1"/>
    </row>
    <row r="221" spans="1:10" ht="51">
      <c r="A221" s="201" t="s">
        <v>33</v>
      </c>
      <c r="B221" s="202"/>
      <c r="C221" s="203">
        <v>511200</v>
      </c>
      <c r="D221" s="449" t="s">
        <v>597</v>
      </c>
      <c r="E221" s="186">
        <v>0</v>
      </c>
      <c r="F221" s="144">
        <f t="shared" si="30"/>
        <v>141925.85</v>
      </c>
      <c r="G221" s="186">
        <v>141925.85</v>
      </c>
      <c r="H221" s="138" t="e">
        <f t="shared" si="28"/>
        <v>#DIV/0!</v>
      </c>
      <c r="I221" s="205">
        <f t="shared" si="29"/>
        <v>0.4519931528662421</v>
      </c>
      <c r="J221" s="309"/>
    </row>
    <row r="222" spans="1:10" ht="54" customHeight="1">
      <c r="A222" s="359" t="s">
        <v>33</v>
      </c>
      <c r="B222" s="202"/>
      <c r="C222" s="203">
        <v>511200</v>
      </c>
      <c r="D222" s="449" t="s">
        <v>598</v>
      </c>
      <c r="E222" s="186">
        <v>0</v>
      </c>
      <c r="F222" s="144">
        <f t="shared" si="30"/>
        <v>253394.19</v>
      </c>
      <c r="G222" s="186">
        <v>253394.19</v>
      </c>
      <c r="H222" s="138" t="e">
        <f t="shared" si="28"/>
        <v>#DIV/0!</v>
      </c>
      <c r="I222" s="205">
        <f t="shared" si="29"/>
        <v>0.8069878662420381</v>
      </c>
      <c r="J222" s="309"/>
    </row>
    <row r="223" spans="1:10" ht="59.25">
      <c r="A223" s="359" t="s">
        <v>33</v>
      </c>
      <c r="B223" s="202"/>
      <c r="C223" s="203">
        <v>511200</v>
      </c>
      <c r="D223" s="448" t="s">
        <v>644</v>
      </c>
      <c r="E223" s="186">
        <v>0</v>
      </c>
      <c r="F223" s="144">
        <f t="shared" si="30"/>
        <v>13690.81</v>
      </c>
      <c r="G223" s="186">
        <v>13690.81</v>
      </c>
      <c r="H223" s="138" t="e">
        <f t="shared" si="28"/>
        <v>#DIV/0!</v>
      </c>
      <c r="I223" s="205">
        <f t="shared" si="29"/>
        <v>0.04360130573248407</v>
      </c>
      <c r="J223" s="309"/>
    </row>
    <row r="224" spans="1:10" ht="25.5">
      <c r="A224" s="201" t="s">
        <v>33</v>
      </c>
      <c r="B224" s="202"/>
      <c r="C224" s="203">
        <v>511200</v>
      </c>
      <c r="D224" s="204" t="s">
        <v>582</v>
      </c>
      <c r="E224" s="186">
        <v>0</v>
      </c>
      <c r="F224" s="144">
        <f t="shared" si="30"/>
        <v>46699.5</v>
      </c>
      <c r="G224" s="186">
        <v>46699.5</v>
      </c>
      <c r="H224" s="138" t="e">
        <f t="shared" si="28"/>
        <v>#DIV/0!</v>
      </c>
      <c r="I224" s="205">
        <f t="shared" si="29"/>
        <v>0.14872452229299363</v>
      </c>
      <c r="J224" s="309"/>
    </row>
    <row r="225" spans="1:10" ht="25.5">
      <c r="A225" s="359" t="s">
        <v>33</v>
      </c>
      <c r="B225" s="360"/>
      <c r="C225" s="361">
        <v>511200</v>
      </c>
      <c r="D225" s="362" t="s">
        <v>645</v>
      </c>
      <c r="E225" s="186">
        <v>0</v>
      </c>
      <c r="F225" s="144">
        <f t="shared" si="30"/>
        <v>236990</v>
      </c>
      <c r="G225" s="186">
        <v>236990</v>
      </c>
      <c r="H225" s="138" t="e">
        <f t="shared" si="28"/>
        <v>#DIV/0!</v>
      </c>
      <c r="I225" s="205">
        <f t="shared" si="29"/>
        <v>0.7547452229299363</v>
      </c>
      <c r="J225" s="309"/>
    </row>
    <row r="226" spans="1:10" ht="25.5">
      <c r="A226" s="359" t="s">
        <v>33</v>
      </c>
      <c r="B226" s="360"/>
      <c r="C226" s="361">
        <v>511200</v>
      </c>
      <c r="D226" s="362" t="s">
        <v>646</v>
      </c>
      <c r="E226" s="186">
        <v>0</v>
      </c>
      <c r="F226" s="144">
        <f t="shared" si="30"/>
        <v>40670</v>
      </c>
      <c r="G226" s="186">
        <v>40670</v>
      </c>
      <c r="H226" s="138" t="e">
        <f t="shared" si="28"/>
        <v>#DIV/0!</v>
      </c>
      <c r="I226" s="205">
        <f t="shared" si="29"/>
        <v>0.12952229299363058</v>
      </c>
      <c r="J226" s="309"/>
    </row>
    <row r="227" spans="1:10" ht="25.5">
      <c r="A227" s="359" t="s">
        <v>33</v>
      </c>
      <c r="B227" s="360"/>
      <c r="C227" s="361">
        <v>511200</v>
      </c>
      <c r="D227" s="362" t="s">
        <v>647</v>
      </c>
      <c r="E227" s="186">
        <v>0</v>
      </c>
      <c r="F227" s="144">
        <f t="shared" si="30"/>
        <v>40000</v>
      </c>
      <c r="G227" s="186">
        <v>40000</v>
      </c>
      <c r="H227" s="138" t="e">
        <f t="shared" si="28"/>
        <v>#DIV/0!</v>
      </c>
      <c r="I227" s="205">
        <f t="shared" si="29"/>
        <v>0.12738853503184713</v>
      </c>
      <c r="J227" s="309"/>
    </row>
    <row r="228" spans="1:10" ht="25.5">
      <c r="A228" s="206" t="s">
        <v>33</v>
      </c>
      <c r="B228" s="202"/>
      <c r="C228" s="203">
        <v>511200</v>
      </c>
      <c r="D228" s="204" t="s">
        <v>588</v>
      </c>
      <c r="E228" s="186">
        <v>100000</v>
      </c>
      <c r="F228" s="144">
        <f t="shared" si="30"/>
        <v>60000</v>
      </c>
      <c r="G228" s="186">
        <v>160000</v>
      </c>
      <c r="H228" s="138">
        <f t="shared" si="28"/>
        <v>160</v>
      </c>
      <c r="I228" s="205">
        <f t="shared" si="29"/>
        <v>0.5095541401273885</v>
      </c>
      <c r="J228" s="309"/>
    </row>
    <row r="229" spans="1:10" ht="12.75" customHeight="1">
      <c r="A229" s="206"/>
      <c r="B229" s="202"/>
      <c r="C229" s="203"/>
      <c r="D229" s="320" t="s">
        <v>437</v>
      </c>
      <c r="E229" s="321">
        <f>SUM(E230:E233)</f>
        <v>1300000</v>
      </c>
      <c r="F229" s="321">
        <f>SUM(F230:F233)</f>
        <v>374673.35000000003</v>
      </c>
      <c r="G229" s="321">
        <f>SUM(G230:G233)</f>
        <v>1674673.3499999999</v>
      </c>
      <c r="H229" s="322">
        <f t="shared" si="28"/>
        <v>128.82102692307691</v>
      </c>
      <c r="I229" s="323">
        <f t="shared" si="29"/>
        <v>5.333354617834394</v>
      </c>
      <c r="J229" s="6"/>
    </row>
    <row r="230" spans="1:11" ht="12.75">
      <c r="A230" s="206" t="s">
        <v>33</v>
      </c>
      <c r="B230" s="202"/>
      <c r="C230" s="203">
        <v>511200</v>
      </c>
      <c r="D230" s="371" t="s">
        <v>610</v>
      </c>
      <c r="E230" s="317">
        <v>0</v>
      </c>
      <c r="F230" s="317">
        <f>G230-E230</f>
        <v>341275.65</v>
      </c>
      <c r="G230" s="317">
        <v>341275.65</v>
      </c>
      <c r="H230" s="138" t="e">
        <f t="shared" si="28"/>
        <v>#DIV/0!</v>
      </c>
      <c r="I230" s="205">
        <f t="shared" si="29"/>
        <v>1.0868651273885352</v>
      </c>
      <c r="J230" s="6"/>
      <c r="K230" s="1"/>
    </row>
    <row r="231" spans="1:10" ht="12.75">
      <c r="A231" s="206" t="s">
        <v>33</v>
      </c>
      <c r="B231" s="202"/>
      <c r="C231" s="203">
        <v>511200</v>
      </c>
      <c r="D231" s="371" t="s">
        <v>508</v>
      </c>
      <c r="E231" s="317">
        <v>850000</v>
      </c>
      <c r="F231" s="317">
        <f>G231-E231</f>
        <v>0</v>
      </c>
      <c r="G231" s="317">
        <v>850000</v>
      </c>
      <c r="H231" s="138">
        <f t="shared" si="28"/>
        <v>100</v>
      </c>
      <c r="I231" s="205">
        <f t="shared" si="29"/>
        <v>2.7070063694267517</v>
      </c>
      <c r="J231" s="6"/>
    </row>
    <row r="232" spans="1:11" ht="25.5">
      <c r="A232" s="206" t="s">
        <v>33</v>
      </c>
      <c r="B232" s="202"/>
      <c r="C232" s="203">
        <v>511200</v>
      </c>
      <c r="D232" s="371" t="s">
        <v>509</v>
      </c>
      <c r="E232" s="317">
        <v>250000</v>
      </c>
      <c r="F232" s="317">
        <f>G232-E232</f>
        <v>0</v>
      </c>
      <c r="G232" s="317">
        <v>250000</v>
      </c>
      <c r="H232" s="138">
        <f t="shared" si="28"/>
        <v>100</v>
      </c>
      <c r="I232" s="205">
        <f t="shared" si="29"/>
        <v>0.7961783439490446</v>
      </c>
      <c r="J232" s="414"/>
      <c r="K232" s="1"/>
    </row>
    <row r="233" spans="1:10" ht="39" customHeight="1">
      <c r="A233" s="206" t="s">
        <v>33</v>
      </c>
      <c r="B233" s="202"/>
      <c r="C233" s="203">
        <v>511200</v>
      </c>
      <c r="D233" s="371" t="s">
        <v>510</v>
      </c>
      <c r="E233" s="317">
        <v>200000</v>
      </c>
      <c r="F233" s="317">
        <f>G233-E233</f>
        <v>33397.70000000001</v>
      </c>
      <c r="G233" s="317">
        <v>233397.7</v>
      </c>
      <c r="H233" s="138">
        <f t="shared" si="28"/>
        <v>116.69885</v>
      </c>
      <c r="I233" s="205">
        <f t="shared" si="29"/>
        <v>0.7433047770700637</v>
      </c>
      <c r="J233" s="415"/>
    </row>
    <row r="234" spans="1:10" ht="27" customHeight="1">
      <c r="A234" s="528"/>
      <c r="B234" s="529"/>
      <c r="C234" s="491" t="s">
        <v>78</v>
      </c>
      <c r="D234" s="496"/>
      <c r="E234" s="157">
        <f>E182+E190+E199+E205+E207+E210+E212+E215</f>
        <v>3249900</v>
      </c>
      <c r="F234" s="157">
        <f>F182+F190+F199+F205+F207+F210+F212+F215</f>
        <v>2527447.14</v>
      </c>
      <c r="G234" s="157">
        <f>G182+G190+G199+G205+G207+G210+G212+G215</f>
        <v>5777347.14</v>
      </c>
      <c r="H234" s="354">
        <f t="shared" si="28"/>
        <v>177.769997230684</v>
      </c>
      <c r="I234" s="385">
        <f t="shared" si="29"/>
        <v>18.399194713375795</v>
      </c>
      <c r="J234" s="6"/>
    </row>
    <row r="235" spans="1:10" ht="9.75" customHeight="1">
      <c r="A235" s="527"/>
      <c r="B235" s="506"/>
      <c r="C235" s="494" t="s">
        <v>485</v>
      </c>
      <c r="D235" s="494"/>
      <c r="E235" s="148"/>
      <c r="F235" s="148"/>
      <c r="G235" s="148"/>
      <c r="H235" s="148"/>
      <c r="I235" s="149"/>
      <c r="J235" s="6"/>
    </row>
    <row r="236" spans="1:10" ht="9.75" customHeight="1">
      <c r="A236" s="505"/>
      <c r="B236" s="506"/>
      <c r="C236" s="494"/>
      <c r="D236" s="494"/>
      <c r="E236" s="150"/>
      <c r="F236" s="150"/>
      <c r="G236" s="150"/>
      <c r="H236" s="150"/>
      <c r="I236" s="151"/>
      <c r="J236" s="6"/>
    </row>
    <row r="237" spans="1:10" ht="15" customHeight="1">
      <c r="A237" s="505"/>
      <c r="B237" s="506"/>
      <c r="C237" s="494"/>
      <c r="D237" s="494"/>
      <c r="E237" s="6"/>
      <c r="F237" s="150"/>
      <c r="G237" s="410"/>
      <c r="H237" s="150"/>
      <c r="I237" s="151"/>
      <c r="J237" s="6"/>
    </row>
    <row r="238" spans="1:10" ht="9" customHeight="1">
      <c r="A238" s="505"/>
      <c r="B238" s="506"/>
      <c r="C238" s="494"/>
      <c r="D238" s="494"/>
      <c r="E238" s="152"/>
      <c r="F238" s="152"/>
      <c r="G238" s="152"/>
      <c r="H238" s="152"/>
      <c r="I238" s="153"/>
      <c r="J238" s="6"/>
    </row>
    <row r="239" spans="1:10" ht="16.5" customHeight="1">
      <c r="A239" s="119"/>
      <c r="B239" s="47">
        <v>412000</v>
      </c>
      <c r="C239" s="60"/>
      <c r="D239" s="133" t="s">
        <v>114</v>
      </c>
      <c r="E239" s="135">
        <f>SUM(E240:E242)</f>
        <v>6300</v>
      </c>
      <c r="F239" s="135">
        <f>SUM(F240:F242)</f>
        <v>-200</v>
      </c>
      <c r="G239" s="135">
        <f>SUM(G240:G242)</f>
        <v>6100</v>
      </c>
      <c r="H239" s="135">
        <f aca="true" t="shared" si="31" ref="H239:H265">G239/E239*100</f>
        <v>96.82539682539682</v>
      </c>
      <c r="I239" s="136">
        <f aca="true" t="shared" si="32" ref="I239:I265">G239/$G$562*100</f>
        <v>0.01942675159235669</v>
      </c>
      <c r="J239" s="6"/>
    </row>
    <row r="240" spans="1:10" ht="14.25" customHeight="1">
      <c r="A240" s="119" t="s">
        <v>29</v>
      </c>
      <c r="B240" s="122"/>
      <c r="C240" s="60">
        <v>412500</v>
      </c>
      <c r="D240" s="87" t="s">
        <v>111</v>
      </c>
      <c r="E240" s="138">
        <v>5000</v>
      </c>
      <c r="F240" s="142">
        <f>G240-E240</f>
        <v>-200</v>
      </c>
      <c r="G240" s="138">
        <v>4800</v>
      </c>
      <c r="H240" s="138">
        <f t="shared" si="31"/>
        <v>96</v>
      </c>
      <c r="I240" s="205">
        <f t="shared" si="32"/>
        <v>0.015286624203821658</v>
      </c>
      <c r="J240" s="6"/>
    </row>
    <row r="241" spans="1:10" ht="12.75" customHeight="1">
      <c r="A241" s="119" t="s">
        <v>21</v>
      </c>
      <c r="B241" s="122"/>
      <c r="C241" s="60">
        <v>412900</v>
      </c>
      <c r="D241" s="82" t="s">
        <v>0</v>
      </c>
      <c r="E241" s="142">
        <v>1000</v>
      </c>
      <c r="F241" s="142">
        <f>G241-E241</f>
        <v>0</v>
      </c>
      <c r="G241" s="142">
        <v>1000</v>
      </c>
      <c r="H241" s="138">
        <f t="shared" si="31"/>
        <v>100</v>
      </c>
      <c r="I241" s="205">
        <f t="shared" si="32"/>
        <v>0.003184713375796178</v>
      </c>
      <c r="J241" s="6"/>
    </row>
    <row r="242" spans="1:10" ht="25.5" customHeight="1">
      <c r="A242" s="121" t="s">
        <v>30</v>
      </c>
      <c r="B242" s="122"/>
      <c r="C242" s="60">
        <v>412900</v>
      </c>
      <c r="D242" s="82" t="s">
        <v>99</v>
      </c>
      <c r="E242" s="142">
        <v>300</v>
      </c>
      <c r="F242" s="142">
        <f>G242-E242</f>
        <v>0</v>
      </c>
      <c r="G242" s="142">
        <v>300</v>
      </c>
      <c r="H242" s="138">
        <f t="shared" si="31"/>
        <v>100</v>
      </c>
      <c r="I242" s="205">
        <f t="shared" si="32"/>
        <v>0.0009554140127388536</v>
      </c>
      <c r="J242" s="6"/>
    </row>
    <row r="243" spans="1:10" ht="12.75" customHeight="1">
      <c r="A243" s="121"/>
      <c r="B243" s="145">
        <v>415000</v>
      </c>
      <c r="C243" s="60"/>
      <c r="D243" s="133" t="s">
        <v>128</v>
      </c>
      <c r="E243" s="173">
        <f>SUM(E244:E260)</f>
        <v>209000</v>
      </c>
      <c r="F243" s="173">
        <f>SUM(F244:F260)</f>
        <v>37288.14</v>
      </c>
      <c r="G243" s="173">
        <f>SUM(G244:G260)</f>
        <v>246288.14</v>
      </c>
      <c r="H243" s="135">
        <f t="shared" si="31"/>
        <v>117.8412153110048</v>
      </c>
      <c r="I243" s="136">
        <f t="shared" si="32"/>
        <v>0.7843571337579618</v>
      </c>
      <c r="J243" s="6"/>
    </row>
    <row r="244" spans="1:10" ht="12.75" customHeight="1">
      <c r="A244" s="119" t="s">
        <v>39</v>
      </c>
      <c r="B244" s="122"/>
      <c r="C244" s="60">
        <v>415200</v>
      </c>
      <c r="D244" s="87" t="s">
        <v>630</v>
      </c>
      <c r="E244" s="144">
        <v>90000</v>
      </c>
      <c r="F244" s="144">
        <f>G244-E244</f>
        <v>0</v>
      </c>
      <c r="G244" s="144">
        <v>90000</v>
      </c>
      <c r="H244" s="138">
        <f t="shared" si="31"/>
        <v>100</v>
      </c>
      <c r="I244" s="205">
        <f t="shared" si="32"/>
        <v>0.28662420382165604</v>
      </c>
      <c r="J244" s="6"/>
    </row>
    <row r="245" spans="1:10" ht="12.75" customHeight="1" hidden="1">
      <c r="A245" s="119" t="s">
        <v>39</v>
      </c>
      <c r="B245" s="122"/>
      <c r="C245" s="60">
        <v>415200</v>
      </c>
      <c r="D245" s="87" t="s">
        <v>423</v>
      </c>
      <c r="E245" s="144"/>
      <c r="F245" s="144">
        <f aca="true" t="shared" si="33" ref="F245:F260">G245-E245</f>
        <v>0</v>
      </c>
      <c r="G245" s="144"/>
      <c r="H245" s="138" t="e">
        <f t="shared" si="31"/>
        <v>#DIV/0!</v>
      </c>
      <c r="I245" s="205">
        <f t="shared" si="32"/>
        <v>0</v>
      </c>
      <c r="J245" s="6"/>
    </row>
    <row r="246" spans="1:10" ht="12" customHeight="1">
      <c r="A246" s="119" t="s">
        <v>39</v>
      </c>
      <c r="B246" s="122"/>
      <c r="C246" s="60">
        <v>415200</v>
      </c>
      <c r="D246" s="87" t="s">
        <v>631</v>
      </c>
      <c r="E246" s="144">
        <v>0</v>
      </c>
      <c r="F246" s="144">
        <f t="shared" si="33"/>
        <v>6537.7</v>
      </c>
      <c r="G246" s="144">
        <v>6537.7</v>
      </c>
      <c r="H246" s="138" t="e">
        <f t="shared" si="31"/>
        <v>#DIV/0!</v>
      </c>
      <c r="I246" s="205">
        <f t="shared" si="32"/>
        <v>0.020820700636942673</v>
      </c>
      <c r="J246" s="6"/>
    </row>
    <row r="247" spans="1:10" ht="12.75" customHeight="1">
      <c r="A247" s="119" t="s">
        <v>39</v>
      </c>
      <c r="B247" s="122"/>
      <c r="C247" s="60">
        <v>415200</v>
      </c>
      <c r="D247" s="82" t="s">
        <v>632</v>
      </c>
      <c r="E247" s="186">
        <v>20000</v>
      </c>
      <c r="F247" s="144">
        <f t="shared" si="33"/>
        <v>0</v>
      </c>
      <c r="G247" s="186">
        <v>20000</v>
      </c>
      <c r="H247" s="138">
        <f t="shared" si="31"/>
        <v>100</v>
      </c>
      <c r="I247" s="205">
        <f t="shared" si="32"/>
        <v>0.06369426751592357</v>
      </c>
      <c r="J247" s="6"/>
    </row>
    <row r="248" spans="1:10" ht="12.75" customHeight="1">
      <c r="A248" s="119" t="s">
        <v>39</v>
      </c>
      <c r="B248" s="122"/>
      <c r="C248" s="60">
        <v>415200</v>
      </c>
      <c r="D248" s="82" t="s">
        <v>643</v>
      </c>
      <c r="E248" s="186">
        <v>0</v>
      </c>
      <c r="F248" s="144">
        <f t="shared" si="33"/>
        <v>6000</v>
      </c>
      <c r="G248" s="186">
        <v>6000</v>
      </c>
      <c r="H248" s="138" t="e">
        <f t="shared" si="31"/>
        <v>#DIV/0!</v>
      </c>
      <c r="I248" s="205">
        <f t="shared" si="32"/>
        <v>0.01910828025477707</v>
      </c>
      <c r="J248" s="6"/>
    </row>
    <row r="249" spans="1:10" ht="12.75" customHeight="1">
      <c r="A249" s="119" t="s">
        <v>39</v>
      </c>
      <c r="B249" s="122"/>
      <c r="C249" s="60">
        <v>415200</v>
      </c>
      <c r="D249" s="82" t="s">
        <v>633</v>
      </c>
      <c r="E249" s="186">
        <v>0</v>
      </c>
      <c r="F249" s="144">
        <f t="shared" si="33"/>
        <v>1498.44</v>
      </c>
      <c r="G249" s="186">
        <v>1498.44</v>
      </c>
      <c r="H249" s="138" t="e">
        <f t="shared" si="31"/>
        <v>#DIV/0!</v>
      </c>
      <c r="I249" s="205">
        <f t="shared" si="32"/>
        <v>0.004772101910828026</v>
      </c>
      <c r="J249" s="6"/>
    </row>
    <row r="250" spans="1:10" ht="24" customHeight="1">
      <c r="A250" s="119" t="s">
        <v>39</v>
      </c>
      <c r="B250" s="122"/>
      <c r="C250" s="60">
        <v>415200</v>
      </c>
      <c r="D250" s="82" t="s">
        <v>606</v>
      </c>
      <c r="E250" s="144">
        <v>30000</v>
      </c>
      <c r="F250" s="144">
        <f t="shared" si="33"/>
        <v>0</v>
      </c>
      <c r="G250" s="144">
        <v>30000</v>
      </c>
      <c r="H250" s="138">
        <f t="shared" si="31"/>
        <v>100</v>
      </c>
      <c r="I250" s="205">
        <f t="shared" si="32"/>
        <v>0.09554140127388536</v>
      </c>
      <c r="J250" s="6"/>
    </row>
    <row r="251" spans="1:10" ht="27" customHeight="1">
      <c r="A251" s="119" t="s">
        <v>39</v>
      </c>
      <c r="B251" s="122"/>
      <c r="C251" s="60">
        <v>415200</v>
      </c>
      <c r="D251" s="82" t="s">
        <v>634</v>
      </c>
      <c r="E251" s="144">
        <v>6000</v>
      </c>
      <c r="F251" s="144">
        <f t="shared" si="33"/>
        <v>0</v>
      </c>
      <c r="G251" s="144">
        <v>6000</v>
      </c>
      <c r="H251" s="138">
        <f t="shared" si="31"/>
        <v>100</v>
      </c>
      <c r="I251" s="205">
        <f t="shared" si="32"/>
        <v>0.01910828025477707</v>
      </c>
      <c r="J251" s="6"/>
    </row>
    <row r="252" spans="1:10" ht="13.5" customHeight="1">
      <c r="A252" s="119" t="s">
        <v>39</v>
      </c>
      <c r="B252" s="122"/>
      <c r="C252" s="60">
        <v>415200</v>
      </c>
      <c r="D252" s="82" t="s">
        <v>255</v>
      </c>
      <c r="E252" s="144">
        <v>5000</v>
      </c>
      <c r="F252" s="144">
        <f t="shared" si="33"/>
        <v>0</v>
      </c>
      <c r="G252" s="144">
        <v>5000</v>
      </c>
      <c r="H252" s="138">
        <f t="shared" si="31"/>
        <v>100</v>
      </c>
      <c r="I252" s="205">
        <f t="shared" si="32"/>
        <v>0.01592356687898089</v>
      </c>
      <c r="J252" s="6"/>
    </row>
    <row r="253" spans="1:10" ht="13.5" customHeight="1">
      <c r="A253" s="119" t="s">
        <v>39</v>
      </c>
      <c r="B253" s="122"/>
      <c r="C253" s="60">
        <v>415200</v>
      </c>
      <c r="D253" s="82" t="s">
        <v>187</v>
      </c>
      <c r="E253" s="144">
        <v>5000</v>
      </c>
      <c r="F253" s="144">
        <f t="shared" si="33"/>
        <v>0</v>
      </c>
      <c r="G253" s="144">
        <v>5000</v>
      </c>
      <c r="H253" s="138">
        <f t="shared" si="31"/>
        <v>100</v>
      </c>
      <c r="I253" s="205">
        <f t="shared" si="32"/>
        <v>0.01592356687898089</v>
      </c>
      <c r="J253" s="6"/>
    </row>
    <row r="254" spans="1:10" ht="11.25" customHeight="1">
      <c r="A254" s="119" t="s">
        <v>39</v>
      </c>
      <c r="B254" s="122"/>
      <c r="C254" s="60">
        <v>415200</v>
      </c>
      <c r="D254" s="82" t="s">
        <v>552</v>
      </c>
      <c r="E254" s="144">
        <v>0</v>
      </c>
      <c r="F254" s="144">
        <f t="shared" si="33"/>
        <v>1350</v>
      </c>
      <c r="G254" s="144">
        <v>1350</v>
      </c>
      <c r="H254" s="138" t="e">
        <f t="shared" si="31"/>
        <v>#DIV/0!</v>
      </c>
      <c r="I254" s="205">
        <f t="shared" si="32"/>
        <v>0.004299363057324841</v>
      </c>
      <c r="J254" s="6"/>
    </row>
    <row r="255" spans="1:10" ht="13.5" customHeight="1">
      <c r="A255" s="119" t="s">
        <v>39</v>
      </c>
      <c r="B255" s="122"/>
      <c r="C255" s="60">
        <v>415200</v>
      </c>
      <c r="D255" s="82" t="s">
        <v>320</v>
      </c>
      <c r="E255" s="144">
        <v>5000</v>
      </c>
      <c r="F255" s="144">
        <f t="shared" si="33"/>
        <v>0</v>
      </c>
      <c r="G255" s="144">
        <v>5000</v>
      </c>
      <c r="H255" s="138">
        <f t="shared" si="31"/>
        <v>100</v>
      </c>
      <c r="I255" s="205">
        <f t="shared" si="32"/>
        <v>0.01592356687898089</v>
      </c>
      <c r="J255" s="6"/>
    </row>
    <row r="256" spans="1:10" ht="13.5" customHeight="1">
      <c r="A256" s="119" t="s">
        <v>39</v>
      </c>
      <c r="B256" s="122"/>
      <c r="C256" s="60">
        <v>415200</v>
      </c>
      <c r="D256" s="82" t="s">
        <v>581</v>
      </c>
      <c r="E256" s="144">
        <v>0</v>
      </c>
      <c r="F256" s="144">
        <f t="shared" si="33"/>
        <v>4300</v>
      </c>
      <c r="G256" s="144">
        <v>4300</v>
      </c>
      <c r="H256" s="138" t="e">
        <f t="shared" si="31"/>
        <v>#DIV/0!</v>
      </c>
      <c r="I256" s="205">
        <f t="shared" si="32"/>
        <v>0.013694267515923567</v>
      </c>
      <c r="J256" s="6"/>
    </row>
    <row r="257" spans="1:10" ht="24" customHeight="1">
      <c r="A257" s="119" t="s">
        <v>39</v>
      </c>
      <c r="B257" s="122"/>
      <c r="C257" s="60">
        <v>415200</v>
      </c>
      <c r="D257" s="82" t="s">
        <v>399</v>
      </c>
      <c r="E257" s="138">
        <v>7500</v>
      </c>
      <c r="F257" s="144">
        <f t="shared" si="33"/>
        <v>0</v>
      </c>
      <c r="G257" s="138">
        <v>7500</v>
      </c>
      <c r="H257" s="138">
        <f t="shared" si="31"/>
        <v>100</v>
      </c>
      <c r="I257" s="205">
        <f t="shared" si="32"/>
        <v>0.02388535031847134</v>
      </c>
      <c r="J257" s="410"/>
    </row>
    <row r="258" spans="1:10" ht="27" customHeight="1" hidden="1">
      <c r="A258" s="119" t="s">
        <v>39</v>
      </c>
      <c r="B258" s="122"/>
      <c r="C258" s="60">
        <v>415200</v>
      </c>
      <c r="D258" s="82" t="s">
        <v>424</v>
      </c>
      <c r="E258" s="142"/>
      <c r="F258" s="144">
        <f t="shared" si="33"/>
        <v>0</v>
      </c>
      <c r="G258" s="142"/>
      <c r="H258" s="138" t="e">
        <f t="shared" si="31"/>
        <v>#DIV/0!</v>
      </c>
      <c r="I258" s="205">
        <f t="shared" si="32"/>
        <v>0</v>
      </c>
      <c r="J258" s="6"/>
    </row>
    <row r="259" spans="1:10" ht="24" customHeight="1">
      <c r="A259" s="121" t="s">
        <v>39</v>
      </c>
      <c r="B259" s="196"/>
      <c r="C259" s="71">
        <v>415200</v>
      </c>
      <c r="D259" s="115" t="s">
        <v>179</v>
      </c>
      <c r="E259" s="186">
        <v>40000</v>
      </c>
      <c r="F259" s="144">
        <f t="shared" si="33"/>
        <v>17400</v>
      </c>
      <c r="G259" s="186">
        <v>57400</v>
      </c>
      <c r="H259" s="138">
        <f t="shared" si="31"/>
        <v>143.5</v>
      </c>
      <c r="I259" s="205">
        <f t="shared" si="32"/>
        <v>0.18280254777070065</v>
      </c>
      <c r="J259" s="6"/>
    </row>
    <row r="260" spans="1:10" ht="27" customHeight="1">
      <c r="A260" s="207" t="s">
        <v>39</v>
      </c>
      <c r="B260" s="196"/>
      <c r="C260" s="71">
        <v>415200</v>
      </c>
      <c r="D260" s="115" t="s">
        <v>276</v>
      </c>
      <c r="E260" s="142">
        <v>500</v>
      </c>
      <c r="F260" s="144">
        <f t="shared" si="33"/>
        <v>202</v>
      </c>
      <c r="G260" s="142">
        <v>702</v>
      </c>
      <c r="H260" s="138">
        <f t="shared" si="31"/>
        <v>140.39999999999998</v>
      </c>
      <c r="I260" s="205">
        <f t="shared" si="32"/>
        <v>0.002235668789808917</v>
      </c>
      <c r="J260" s="6"/>
    </row>
    <row r="261" spans="1:10" ht="14.25" customHeight="1">
      <c r="A261" s="207"/>
      <c r="B261" s="208">
        <v>416000</v>
      </c>
      <c r="C261" s="209"/>
      <c r="D261" s="198" t="s">
        <v>1</v>
      </c>
      <c r="E261" s="210">
        <f>SUM(E262:E262)</f>
        <v>50000</v>
      </c>
      <c r="F261" s="210">
        <f>SUM(F262:F262)</f>
        <v>0</v>
      </c>
      <c r="G261" s="210">
        <f>SUM(G262:G262)</f>
        <v>50000</v>
      </c>
      <c r="H261" s="135">
        <f t="shared" si="31"/>
        <v>100</v>
      </c>
      <c r="I261" s="136">
        <f t="shared" si="32"/>
        <v>0.15923566878980894</v>
      </c>
      <c r="J261" s="19"/>
    </row>
    <row r="262" spans="1:10" ht="13.5" customHeight="1">
      <c r="A262" s="207" t="s">
        <v>26</v>
      </c>
      <c r="B262" s="211"/>
      <c r="C262" s="71">
        <v>416100</v>
      </c>
      <c r="D262" s="115" t="s">
        <v>222</v>
      </c>
      <c r="E262" s="186">
        <v>50000</v>
      </c>
      <c r="F262" s="186">
        <f>G262-E262</f>
        <v>0</v>
      </c>
      <c r="G262" s="186">
        <v>50000</v>
      </c>
      <c r="H262" s="138">
        <f t="shared" si="31"/>
        <v>100</v>
      </c>
      <c r="I262" s="205">
        <f t="shared" si="32"/>
        <v>0.15923566878980894</v>
      </c>
      <c r="J262" s="19"/>
    </row>
    <row r="263" spans="1:10" ht="15" customHeight="1">
      <c r="A263" s="119"/>
      <c r="B263" s="47">
        <v>487000</v>
      </c>
      <c r="C263" s="71"/>
      <c r="D263" s="133" t="s">
        <v>315</v>
      </c>
      <c r="E263" s="135">
        <f>SUM(E264)</f>
        <v>0</v>
      </c>
      <c r="F263" s="135">
        <f>SUM(F264)</f>
        <v>0</v>
      </c>
      <c r="G263" s="135">
        <f>SUM(G264)</f>
        <v>0</v>
      </c>
      <c r="H263" s="135" t="e">
        <f t="shared" si="31"/>
        <v>#DIV/0!</v>
      </c>
      <c r="I263" s="136">
        <f t="shared" si="32"/>
        <v>0</v>
      </c>
      <c r="J263" s="6"/>
    </row>
    <row r="264" spans="1:10" ht="15" customHeight="1">
      <c r="A264" s="119" t="s">
        <v>26</v>
      </c>
      <c r="B264" s="47"/>
      <c r="C264" s="71">
        <v>487900</v>
      </c>
      <c r="D264" s="316" t="s">
        <v>315</v>
      </c>
      <c r="E264" s="142">
        <v>0</v>
      </c>
      <c r="F264" s="142">
        <f>G264-E264</f>
        <v>0</v>
      </c>
      <c r="G264" s="142">
        <v>0</v>
      </c>
      <c r="H264" s="138" t="e">
        <f t="shared" si="31"/>
        <v>#DIV/0!</v>
      </c>
      <c r="I264" s="205">
        <f t="shared" si="32"/>
        <v>0</v>
      </c>
      <c r="J264" s="6"/>
    </row>
    <row r="265" spans="1:10" ht="27" customHeight="1">
      <c r="A265" s="505"/>
      <c r="B265" s="506"/>
      <c r="C265" s="491" t="s">
        <v>79</v>
      </c>
      <c r="D265" s="496"/>
      <c r="E265" s="157">
        <f>E239+E243+E261+E263</f>
        <v>265300</v>
      </c>
      <c r="F265" s="157">
        <f>F239+F243+F261+F263</f>
        <v>37088.14</v>
      </c>
      <c r="G265" s="157">
        <f>G239+G243+G261+G263</f>
        <v>302388.14</v>
      </c>
      <c r="H265" s="354">
        <f t="shared" si="31"/>
        <v>113.97969845457973</v>
      </c>
      <c r="I265" s="385">
        <f t="shared" si="32"/>
        <v>0.9630195541401274</v>
      </c>
      <c r="J265" s="6"/>
    </row>
    <row r="266" spans="1:10" ht="9.75" customHeight="1">
      <c r="A266" s="505"/>
      <c r="B266" s="506"/>
      <c r="C266" s="494" t="s">
        <v>484</v>
      </c>
      <c r="D266" s="495"/>
      <c r="E266" s="187"/>
      <c r="F266" s="187"/>
      <c r="G266" s="187"/>
      <c r="H266" s="187"/>
      <c r="I266" s="188"/>
      <c r="J266" s="6"/>
    </row>
    <row r="267" spans="1:10" ht="9.75" customHeight="1">
      <c r="A267" s="505"/>
      <c r="B267" s="506"/>
      <c r="C267" s="495"/>
      <c r="D267" s="495"/>
      <c r="E267" s="189"/>
      <c r="F267" s="189"/>
      <c r="G267" s="189"/>
      <c r="H267" s="189"/>
      <c r="I267" s="190"/>
      <c r="J267" s="6"/>
    </row>
    <row r="268" spans="1:10" ht="21" customHeight="1">
      <c r="A268" s="505"/>
      <c r="B268" s="506"/>
      <c r="C268" s="495"/>
      <c r="D268" s="495"/>
      <c r="E268" s="191"/>
      <c r="F268" s="191"/>
      <c r="G268" s="191"/>
      <c r="H268" s="191"/>
      <c r="I268" s="192"/>
      <c r="J268" s="6"/>
    </row>
    <row r="269" spans="1:10" ht="14.25" customHeight="1">
      <c r="A269" s="119"/>
      <c r="B269" s="47">
        <v>412000</v>
      </c>
      <c r="C269" s="122"/>
      <c r="D269" s="133" t="s">
        <v>114</v>
      </c>
      <c r="E269" s="135">
        <f>SUM(E270:E276)</f>
        <v>42900</v>
      </c>
      <c r="F269" s="135">
        <f>SUM(F270:F276)</f>
        <v>-740</v>
      </c>
      <c r="G269" s="135">
        <f>SUM(G270:G276)</f>
        <v>42160</v>
      </c>
      <c r="H269" s="135">
        <f aca="true" t="shared" si="34" ref="H269:H277">G269/E269*100</f>
        <v>98.27505827505829</v>
      </c>
      <c r="I269" s="136">
        <f aca="true" t="shared" si="35" ref="I269:I277">G269/$G$562*100</f>
        <v>0.13426751592356687</v>
      </c>
      <c r="J269" s="6"/>
    </row>
    <row r="270" spans="1:10" ht="12.75" customHeight="1">
      <c r="A270" s="119" t="s">
        <v>30</v>
      </c>
      <c r="B270" s="47"/>
      <c r="C270" s="60">
        <v>412700</v>
      </c>
      <c r="D270" s="115" t="s">
        <v>95</v>
      </c>
      <c r="E270" s="186">
        <v>10000</v>
      </c>
      <c r="F270" s="186">
        <f aca="true" t="shared" si="36" ref="F270:F276">G270-E270</f>
        <v>0</v>
      </c>
      <c r="G270" s="186">
        <v>10000</v>
      </c>
      <c r="H270" s="138">
        <f t="shared" si="34"/>
        <v>100</v>
      </c>
      <c r="I270" s="205">
        <f t="shared" si="35"/>
        <v>0.03184713375796178</v>
      </c>
      <c r="J270" s="6"/>
    </row>
    <row r="271" spans="1:10" ht="12.75" customHeight="1">
      <c r="A271" s="119" t="s">
        <v>30</v>
      </c>
      <c r="B271" s="47"/>
      <c r="C271" s="60">
        <v>418400</v>
      </c>
      <c r="D271" s="87" t="s">
        <v>548</v>
      </c>
      <c r="E271" s="186">
        <v>6500</v>
      </c>
      <c r="F271" s="186">
        <f t="shared" si="36"/>
        <v>0</v>
      </c>
      <c r="G271" s="186">
        <v>6500</v>
      </c>
      <c r="H271" s="138">
        <f t="shared" si="34"/>
        <v>100</v>
      </c>
      <c r="I271" s="205">
        <f t="shared" si="35"/>
        <v>0.020700636942675158</v>
      </c>
      <c r="J271" s="6"/>
    </row>
    <row r="272" spans="1:10" ht="12.75" customHeight="1">
      <c r="A272" s="207" t="s">
        <v>30</v>
      </c>
      <c r="B272" s="196"/>
      <c r="C272" s="71">
        <v>412700</v>
      </c>
      <c r="D272" s="115" t="s">
        <v>108</v>
      </c>
      <c r="E272" s="186">
        <v>1000</v>
      </c>
      <c r="F272" s="186">
        <f t="shared" si="36"/>
        <v>-500</v>
      </c>
      <c r="G272" s="186">
        <v>500</v>
      </c>
      <c r="H272" s="138">
        <f t="shared" si="34"/>
        <v>50</v>
      </c>
      <c r="I272" s="205">
        <f t="shared" si="35"/>
        <v>0.001592356687898089</v>
      </c>
      <c r="J272" s="6"/>
    </row>
    <row r="273" spans="1:10" ht="12.75" customHeight="1">
      <c r="A273" s="207" t="s">
        <v>30</v>
      </c>
      <c r="B273" s="196"/>
      <c r="C273" s="90">
        <v>412700</v>
      </c>
      <c r="D273" s="87" t="s">
        <v>174</v>
      </c>
      <c r="E273" s="186">
        <v>20000</v>
      </c>
      <c r="F273" s="186">
        <f t="shared" si="36"/>
        <v>0</v>
      </c>
      <c r="G273" s="186">
        <v>20000</v>
      </c>
      <c r="H273" s="138">
        <f t="shared" si="34"/>
        <v>100</v>
      </c>
      <c r="I273" s="205">
        <f t="shared" si="35"/>
        <v>0.06369426751592357</v>
      </c>
      <c r="J273" s="6"/>
    </row>
    <row r="274" spans="1:10" ht="12.75" customHeight="1">
      <c r="A274" s="121" t="s">
        <v>155</v>
      </c>
      <c r="B274" s="122"/>
      <c r="C274" s="90">
        <v>412700</v>
      </c>
      <c r="D274" s="87" t="s">
        <v>425</v>
      </c>
      <c r="E274" s="144">
        <v>5000</v>
      </c>
      <c r="F274" s="186">
        <f t="shared" si="36"/>
        <v>-2500</v>
      </c>
      <c r="G274" s="144">
        <v>2500</v>
      </c>
      <c r="H274" s="138">
        <f t="shared" si="34"/>
        <v>50</v>
      </c>
      <c r="I274" s="205">
        <f t="shared" si="35"/>
        <v>0.007961783439490446</v>
      </c>
      <c r="J274" s="6"/>
    </row>
    <row r="275" spans="1:10" ht="12.75" customHeight="1">
      <c r="A275" s="119" t="s">
        <v>21</v>
      </c>
      <c r="B275" s="122"/>
      <c r="C275" s="60">
        <v>412900</v>
      </c>
      <c r="D275" s="82" t="s">
        <v>40</v>
      </c>
      <c r="E275" s="138">
        <v>400</v>
      </c>
      <c r="F275" s="186">
        <f t="shared" si="36"/>
        <v>0</v>
      </c>
      <c r="G275" s="138">
        <v>400</v>
      </c>
      <c r="H275" s="138">
        <f t="shared" si="34"/>
        <v>100</v>
      </c>
      <c r="I275" s="205">
        <f t="shared" si="35"/>
        <v>0.0012738853503184715</v>
      </c>
      <c r="J275" s="6"/>
    </row>
    <row r="276" spans="1:10" ht="12.75" customHeight="1">
      <c r="A276" s="93" t="s">
        <v>21</v>
      </c>
      <c r="B276" s="122"/>
      <c r="C276" s="60">
        <v>412900</v>
      </c>
      <c r="D276" s="82" t="s">
        <v>123</v>
      </c>
      <c r="E276" s="138">
        <v>0</v>
      </c>
      <c r="F276" s="186">
        <f t="shared" si="36"/>
        <v>2260</v>
      </c>
      <c r="G276" s="138">
        <v>2260</v>
      </c>
      <c r="H276" s="138" t="e">
        <f t="shared" si="34"/>
        <v>#DIV/0!</v>
      </c>
      <c r="I276" s="205">
        <f t="shared" si="35"/>
        <v>0.007197452229299363</v>
      </c>
      <c r="J276" s="6"/>
    </row>
    <row r="277" spans="1:10" ht="27.75" customHeight="1">
      <c r="A277" s="505"/>
      <c r="B277" s="506"/>
      <c r="C277" s="491" t="s">
        <v>80</v>
      </c>
      <c r="D277" s="491"/>
      <c r="E277" s="157">
        <f>E269</f>
        <v>42900</v>
      </c>
      <c r="F277" s="157">
        <f>F269</f>
        <v>-740</v>
      </c>
      <c r="G277" s="157">
        <f>G269</f>
        <v>42160</v>
      </c>
      <c r="H277" s="354">
        <f t="shared" si="34"/>
        <v>98.27505827505829</v>
      </c>
      <c r="I277" s="385">
        <f t="shared" si="35"/>
        <v>0.13426751592356687</v>
      </c>
      <c r="J277" s="6"/>
    </row>
    <row r="278" spans="1:10" ht="25.5" customHeight="1">
      <c r="A278" s="159"/>
      <c r="B278" s="160"/>
      <c r="C278" s="494" t="s">
        <v>483</v>
      </c>
      <c r="D278" s="495"/>
      <c r="E278" s="161"/>
      <c r="F278" s="161"/>
      <c r="G278" s="161"/>
      <c r="H278" s="161"/>
      <c r="I278" s="162"/>
      <c r="J278" s="6"/>
    </row>
    <row r="279" spans="1:10" ht="15" customHeight="1">
      <c r="A279" s="167"/>
      <c r="B279" s="168"/>
      <c r="C279" s="495"/>
      <c r="D279" s="495"/>
      <c r="E279" s="169"/>
      <c r="F279" s="169"/>
      <c r="G279" s="169"/>
      <c r="H279" s="169"/>
      <c r="I279" s="170"/>
      <c r="J279" s="6"/>
    </row>
    <row r="280" spans="1:10" ht="12.75">
      <c r="A280" s="119"/>
      <c r="B280" s="47">
        <v>412000</v>
      </c>
      <c r="C280" s="60"/>
      <c r="D280" s="133" t="s">
        <v>114</v>
      </c>
      <c r="E280" s="135">
        <f>SUM(E281:E288)</f>
        <v>415400</v>
      </c>
      <c r="F280" s="135">
        <f>SUM(F281:F288)</f>
        <v>0</v>
      </c>
      <c r="G280" s="135">
        <f>SUM(G281:G288)</f>
        <v>415400</v>
      </c>
      <c r="H280" s="135">
        <f aca="true" t="shared" si="37" ref="H280:H293">G280/E280*100</f>
        <v>100</v>
      </c>
      <c r="I280" s="171">
        <f aca="true" t="shared" si="38" ref="I280:I293">G280/$G$562*100</f>
        <v>1.3229299363057325</v>
      </c>
      <c r="J280" s="6"/>
    </row>
    <row r="281" spans="1:10" ht="25.5" customHeight="1">
      <c r="A281" s="119" t="s">
        <v>21</v>
      </c>
      <c r="B281" s="122"/>
      <c r="C281" s="60">
        <v>412200</v>
      </c>
      <c r="D281" s="82" t="s">
        <v>116</v>
      </c>
      <c r="E281" s="144">
        <v>240000</v>
      </c>
      <c r="F281" s="144">
        <f>G281-E281</f>
        <v>-1000</v>
      </c>
      <c r="G281" s="144">
        <v>239000</v>
      </c>
      <c r="H281" s="138">
        <f t="shared" si="37"/>
        <v>99.58333333333333</v>
      </c>
      <c r="I281" s="380">
        <f t="shared" si="38"/>
        <v>0.7611464968152866</v>
      </c>
      <c r="J281" s="6"/>
    </row>
    <row r="282" spans="1:10" ht="12.75" customHeight="1">
      <c r="A282" s="119" t="s">
        <v>21</v>
      </c>
      <c r="B282" s="122"/>
      <c r="C282" s="60">
        <v>412300</v>
      </c>
      <c r="D282" s="122" t="s">
        <v>117</v>
      </c>
      <c r="E282" s="142">
        <v>54500</v>
      </c>
      <c r="F282" s="144">
        <f aca="true" t="shared" si="39" ref="F282:F288">G282-E282</f>
        <v>0</v>
      </c>
      <c r="G282" s="142">
        <v>54500</v>
      </c>
      <c r="H282" s="138">
        <f t="shared" si="37"/>
        <v>100</v>
      </c>
      <c r="I282" s="380">
        <f t="shared" si="38"/>
        <v>0.1735668789808917</v>
      </c>
      <c r="J282" s="6"/>
    </row>
    <row r="283" spans="1:10" ht="12.75" customHeight="1">
      <c r="A283" s="119" t="s">
        <v>21</v>
      </c>
      <c r="B283" s="122"/>
      <c r="C283" s="60">
        <v>412500</v>
      </c>
      <c r="D283" s="122" t="s">
        <v>19</v>
      </c>
      <c r="E283" s="142">
        <v>35000</v>
      </c>
      <c r="F283" s="144">
        <f t="shared" si="39"/>
        <v>0</v>
      </c>
      <c r="G283" s="142">
        <v>35000</v>
      </c>
      <c r="H283" s="138">
        <f t="shared" si="37"/>
        <v>100</v>
      </c>
      <c r="I283" s="380">
        <f t="shared" si="38"/>
        <v>0.11146496815286625</v>
      </c>
      <c r="J283" s="6"/>
    </row>
    <row r="284" spans="1:10" ht="12.75" customHeight="1">
      <c r="A284" s="119" t="s">
        <v>21</v>
      </c>
      <c r="B284" s="122"/>
      <c r="C284" s="60">
        <v>412600</v>
      </c>
      <c r="D284" s="82" t="s">
        <v>611</v>
      </c>
      <c r="E284" s="142">
        <v>7000</v>
      </c>
      <c r="F284" s="144">
        <f t="shared" si="39"/>
        <v>0</v>
      </c>
      <c r="G284" s="142">
        <v>7000</v>
      </c>
      <c r="H284" s="138">
        <f t="shared" si="37"/>
        <v>100</v>
      </c>
      <c r="I284" s="380">
        <f t="shared" si="38"/>
        <v>0.022292993630573247</v>
      </c>
      <c r="J284" s="6"/>
    </row>
    <row r="285" spans="1:10" ht="12.75" customHeight="1">
      <c r="A285" s="119" t="s">
        <v>21</v>
      </c>
      <c r="B285" s="122"/>
      <c r="C285" s="60">
        <v>412700</v>
      </c>
      <c r="D285" s="82" t="s">
        <v>600</v>
      </c>
      <c r="E285" s="144">
        <v>66000</v>
      </c>
      <c r="F285" s="144">
        <f t="shared" si="39"/>
        <v>0</v>
      </c>
      <c r="G285" s="144">
        <v>66000</v>
      </c>
      <c r="H285" s="138">
        <f t="shared" si="37"/>
        <v>100</v>
      </c>
      <c r="I285" s="380">
        <f t="shared" si="38"/>
        <v>0.21019108280254778</v>
      </c>
      <c r="J285" s="6"/>
    </row>
    <row r="286" spans="1:10" ht="12.75" customHeight="1">
      <c r="A286" s="119" t="s">
        <v>21</v>
      </c>
      <c r="B286" s="122"/>
      <c r="C286" s="60">
        <v>412900</v>
      </c>
      <c r="D286" s="82" t="s">
        <v>0</v>
      </c>
      <c r="E286" s="142">
        <v>400</v>
      </c>
      <c r="F286" s="144">
        <f t="shared" si="39"/>
        <v>0</v>
      </c>
      <c r="G286" s="142">
        <v>400</v>
      </c>
      <c r="H286" s="138">
        <f t="shared" si="37"/>
        <v>100</v>
      </c>
      <c r="I286" s="380">
        <f t="shared" si="38"/>
        <v>0.0012738853503184715</v>
      </c>
      <c r="J286" s="6"/>
    </row>
    <row r="287" spans="1:10" ht="12.75" customHeight="1">
      <c r="A287" s="119" t="s">
        <v>21</v>
      </c>
      <c r="B287" s="122"/>
      <c r="C287" s="60">
        <v>412900</v>
      </c>
      <c r="D287" s="82" t="s">
        <v>612</v>
      </c>
      <c r="E287" s="144">
        <v>2500</v>
      </c>
      <c r="F287" s="144">
        <f t="shared" si="39"/>
        <v>1000</v>
      </c>
      <c r="G287" s="144">
        <v>3500</v>
      </c>
      <c r="H287" s="138">
        <f t="shared" si="37"/>
        <v>140</v>
      </c>
      <c r="I287" s="380">
        <f t="shared" si="38"/>
        <v>0.011146496815286623</v>
      </c>
      <c r="J287" s="6"/>
    </row>
    <row r="288" spans="1:10" ht="12.75" customHeight="1">
      <c r="A288" s="119" t="s">
        <v>21</v>
      </c>
      <c r="B288" s="122"/>
      <c r="C288" s="60">
        <v>412900</v>
      </c>
      <c r="D288" s="82" t="s">
        <v>123</v>
      </c>
      <c r="E288" s="144">
        <v>10000</v>
      </c>
      <c r="F288" s="144">
        <f t="shared" si="39"/>
        <v>0</v>
      </c>
      <c r="G288" s="144">
        <v>10000</v>
      </c>
      <c r="H288" s="138">
        <f t="shared" si="37"/>
        <v>100</v>
      </c>
      <c r="I288" s="380">
        <f t="shared" si="38"/>
        <v>0.03184713375796178</v>
      </c>
      <c r="J288" s="6"/>
    </row>
    <row r="289" spans="1:10" ht="12.75" customHeight="1">
      <c r="A289" s="119"/>
      <c r="B289" s="47">
        <v>511000</v>
      </c>
      <c r="C289" s="122"/>
      <c r="D289" s="133" t="s">
        <v>132</v>
      </c>
      <c r="E289" s="173">
        <f>SUM(E290:E290)</f>
        <v>95000</v>
      </c>
      <c r="F289" s="173">
        <f>SUM(F290:F290)</f>
        <v>3000</v>
      </c>
      <c r="G289" s="173">
        <f>SUM(G290:G290)</f>
        <v>98000</v>
      </c>
      <c r="H289" s="135">
        <f t="shared" si="37"/>
        <v>103.15789473684211</v>
      </c>
      <c r="I289" s="171">
        <f t="shared" si="38"/>
        <v>0.31210191082802546</v>
      </c>
      <c r="J289" s="6"/>
    </row>
    <row r="290" spans="1:10" ht="12.75" customHeight="1">
      <c r="A290" s="119" t="s">
        <v>21</v>
      </c>
      <c r="B290" s="122"/>
      <c r="C290" s="122">
        <v>511300</v>
      </c>
      <c r="D290" s="122" t="s">
        <v>2</v>
      </c>
      <c r="E290" s="144">
        <v>95000</v>
      </c>
      <c r="F290" s="144">
        <f>G290-E290</f>
        <v>3000</v>
      </c>
      <c r="G290" s="144">
        <v>98000</v>
      </c>
      <c r="H290" s="138">
        <f t="shared" si="37"/>
        <v>103.15789473684211</v>
      </c>
      <c r="I290" s="380">
        <f t="shared" si="38"/>
        <v>0.31210191082802546</v>
      </c>
      <c r="J290" s="309"/>
    </row>
    <row r="291" spans="1:10" ht="12.75" customHeight="1">
      <c r="A291" s="119"/>
      <c r="B291" s="47">
        <v>516000</v>
      </c>
      <c r="C291" s="122"/>
      <c r="D291" s="133" t="s">
        <v>270</v>
      </c>
      <c r="E291" s="173">
        <f>SUM(E292)</f>
        <v>10000</v>
      </c>
      <c r="F291" s="173">
        <f>SUM(F292)</f>
        <v>0</v>
      </c>
      <c r="G291" s="173">
        <f>SUM(G292)</f>
        <v>10000</v>
      </c>
      <c r="H291" s="135">
        <f t="shared" si="37"/>
        <v>100</v>
      </c>
      <c r="I291" s="171">
        <f t="shared" si="38"/>
        <v>0.03184713375796178</v>
      </c>
      <c r="J291" s="6"/>
    </row>
    <row r="292" spans="1:10" ht="12.75">
      <c r="A292" s="119" t="s">
        <v>21</v>
      </c>
      <c r="B292" s="122"/>
      <c r="C292" s="122">
        <v>516100</v>
      </c>
      <c r="D292" s="82" t="s">
        <v>225</v>
      </c>
      <c r="E292" s="144">
        <v>10000</v>
      </c>
      <c r="F292" s="144">
        <f>G292-E292</f>
        <v>0</v>
      </c>
      <c r="G292" s="144">
        <v>10000</v>
      </c>
      <c r="H292" s="138">
        <f t="shared" si="37"/>
        <v>100</v>
      </c>
      <c r="I292" s="380">
        <f t="shared" si="38"/>
        <v>0.03184713375796178</v>
      </c>
      <c r="J292" s="6"/>
    </row>
    <row r="293" spans="1:10" ht="25.5" customHeight="1">
      <c r="A293" s="505"/>
      <c r="B293" s="506"/>
      <c r="C293" s="491" t="s">
        <v>82</v>
      </c>
      <c r="D293" s="496"/>
      <c r="E293" s="157">
        <f>E280+E289+E291</f>
        <v>520400</v>
      </c>
      <c r="F293" s="157">
        <f>F280+F289+F291</f>
        <v>3000</v>
      </c>
      <c r="G293" s="157">
        <f>G280+G289+G291</f>
        <v>523400</v>
      </c>
      <c r="H293" s="354">
        <f t="shared" si="37"/>
        <v>100.57647963105303</v>
      </c>
      <c r="I293" s="335">
        <f t="shared" si="38"/>
        <v>1.6668789808917197</v>
      </c>
      <c r="J293" s="6"/>
    </row>
    <row r="294" spans="1:10" ht="12.75">
      <c r="A294" s="163"/>
      <c r="B294" s="164"/>
      <c r="C294" s="503" t="s">
        <v>482</v>
      </c>
      <c r="D294" s="504"/>
      <c r="E294" s="165"/>
      <c r="F294" s="165"/>
      <c r="G294" s="165"/>
      <c r="H294" s="165"/>
      <c r="I294" s="166"/>
      <c r="J294" s="6"/>
    </row>
    <row r="295" spans="1:10" ht="12.75">
      <c r="A295" s="163"/>
      <c r="B295" s="164"/>
      <c r="C295" s="504"/>
      <c r="D295" s="504"/>
      <c r="E295" s="165"/>
      <c r="F295" s="165"/>
      <c r="G295" s="165"/>
      <c r="H295" s="165"/>
      <c r="I295" s="166"/>
      <c r="J295" s="6"/>
    </row>
    <row r="296" spans="1:10" ht="17.25" customHeight="1">
      <c r="A296" s="167"/>
      <c r="B296" s="168"/>
      <c r="C296" s="504"/>
      <c r="D296" s="504"/>
      <c r="E296" s="169"/>
      <c r="F296" s="169"/>
      <c r="G296" s="169"/>
      <c r="H296" s="169"/>
      <c r="I296" s="170"/>
      <c r="J296" s="6"/>
    </row>
    <row r="297" spans="1:10" ht="12.75">
      <c r="A297" s="212"/>
      <c r="B297" s="180" t="s">
        <v>328</v>
      </c>
      <c r="C297" s="84"/>
      <c r="D297" s="54" t="s">
        <v>114</v>
      </c>
      <c r="E297" s="213">
        <f>SUM(E298:E300)</f>
        <v>36400</v>
      </c>
      <c r="F297" s="213">
        <f>SUM(F298:F300)</f>
        <v>20000</v>
      </c>
      <c r="G297" s="213">
        <f>SUM(G298:G300)</f>
        <v>56400</v>
      </c>
      <c r="H297" s="214">
        <f aca="true" t="shared" si="40" ref="H297:H305">G297/E297*100</f>
        <v>154.94505494505495</v>
      </c>
      <c r="I297" s="215">
        <f aca="true" t="shared" si="41" ref="I297:I305">G297/$G$562*100</f>
        <v>0.17961783439490447</v>
      </c>
      <c r="J297" s="6"/>
    </row>
    <row r="298" spans="1:10" ht="12.75">
      <c r="A298" s="119" t="s">
        <v>21</v>
      </c>
      <c r="B298" s="180"/>
      <c r="C298" s="90">
        <v>412700</v>
      </c>
      <c r="D298" s="61" t="s">
        <v>121</v>
      </c>
      <c r="E298" s="217">
        <v>35000</v>
      </c>
      <c r="F298" s="217">
        <f>G298-E298</f>
        <v>20000</v>
      </c>
      <c r="G298" s="217">
        <v>55000</v>
      </c>
      <c r="H298" s="183">
        <f t="shared" si="40"/>
        <v>157.14285714285714</v>
      </c>
      <c r="I298" s="381">
        <f t="shared" si="41"/>
        <v>0.17515923566878983</v>
      </c>
      <c r="J298" s="6"/>
    </row>
    <row r="299" spans="1:10" ht="25.5">
      <c r="A299" s="119" t="s">
        <v>21</v>
      </c>
      <c r="B299" s="180"/>
      <c r="C299" s="90">
        <v>412900</v>
      </c>
      <c r="D299" s="69" t="s">
        <v>401</v>
      </c>
      <c r="E299" s="216">
        <v>1000</v>
      </c>
      <c r="F299" s="217">
        <f>G299-E299</f>
        <v>0</v>
      </c>
      <c r="G299" s="216">
        <v>1000</v>
      </c>
      <c r="H299" s="183">
        <f t="shared" si="40"/>
        <v>100</v>
      </c>
      <c r="I299" s="381">
        <f t="shared" si="41"/>
        <v>0.003184713375796178</v>
      </c>
      <c r="J299" s="6"/>
    </row>
    <row r="300" spans="1:10" ht="12.75" customHeight="1">
      <c r="A300" s="238" t="s">
        <v>21</v>
      </c>
      <c r="B300" s="122"/>
      <c r="C300" s="60">
        <v>412900</v>
      </c>
      <c r="D300" s="82" t="s">
        <v>0</v>
      </c>
      <c r="E300" s="142">
        <v>400</v>
      </c>
      <c r="F300" s="217">
        <f>G300-E300</f>
        <v>0</v>
      </c>
      <c r="G300" s="142">
        <v>400</v>
      </c>
      <c r="H300" s="138">
        <f t="shared" si="40"/>
        <v>100</v>
      </c>
      <c r="I300" s="380">
        <f t="shared" si="41"/>
        <v>0.0012738853503184715</v>
      </c>
      <c r="J300" s="6"/>
    </row>
    <row r="301" spans="1:10" ht="12.75" customHeight="1">
      <c r="A301" s="119"/>
      <c r="B301" s="180" t="s">
        <v>337</v>
      </c>
      <c r="C301" s="79"/>
      <c r="D301" s="54" t="s">
        <v>283</v>
      </c>
      <c r="E301" s="213">
        <f>SUM(E302:E302)</f>
        <v>150000</v>
      </c>
      <c r="F301" s="213">
        <f>SUM(F302:F302)</f>
        <v>0</v>
      </c>
      <c r="G301" s="213">
        <f>SUM(G302:G302)</f>
        <v>150000</v>
      </c>
      <c r="H301" s="214">
        <f t="shared" si="40"/>
        <v>100</v>
      </c>
      <c r="I301" s="215">
        <f t="shared" si="41"/>
        <v>0.47770700636942676</v>
      </c>
      <c r="J301" s="6"/>
    </row>
    <row r="302" spans="1:10" ht="12.75" customHeight="1">
      <c r="A302" s="119" t="s">
        <v>21</v>
      </c>
      <c r="B302" s="180"/>
      <c r="C302" s="90">
        <v>419100</v>
      </c>
      <c r="D302" s="69" t="s">
        <v>339</v>
      </c>
      <c r="E302" s="306">
        <v>150000</v>
      </c>
      <c r="F302" s="306">
        <f>G302-E302</f>
        <v>0</v>
      </c>
      <c r="G302" s="306">
        <v>150000</v>
      </c>
      <c r="H302" s="183">
        <f t="shared" si="40"/>
        <v>100</v>
      </c>
      <c r="I302" s="381">
        <f t="shared" si="41"/>
        <v>0.47770700636942676</v>
      </c>
      <c r="J302" s="309"/>
    </row>
    <row r="303" spans="1:10" ht="12.75" customHeight="1">
      <c r="A303" s="119"/>
      <c r="B303" s="180" t="s">
        <v>338</v>
      </c>
      <c r="C303" s="79"/>
      <c r="D303" s="54" t="s">
        <v>157</v>
      </c>
      <c r="E303" s="213">
        <f>SUM(E304)</f>
        <v>150000</v>
      </c>
      <c r="F303" s="213">
        <f>SUM(F304)</f>
        <v>-29346.520000000004</v>
      </c>
      <c r="G303" s="213">
        <f>SUM(G304)</f>
        <v>120653.48</v>
      </c>
      <c r="H303" s="214">
        <f t="shared" si="40"/>
        <v>80.43565333333333</v>
      </c>
      <c r="I303" s="215">
        <f t="shared" si="41"/>
        <v>0.3842467515923567</v>
      </c>
      <c r="J303" s="6"/>
    </row>
    <row r="304" spans="1:10" ht="12.75" customHeight="1">
      <c r="A304" s="119" t="s">
        <v>21</v>
      </c>
      <c r="B304" s="218"/>
      <c r="C304" s="307">
        <v>513100</v>
      </c>
      <c r="D304" s="156" t="s">
        <v>215</v>
      </c>
      <c r="E304" s="62">
        <v>150000</v>
      </c>
      <c r="F304" s="62">
        <f>G304-E304</f>
        <v>-29346.520000000004</v>
      </c>
      <c r="G304" s="62">
        <v>120653.48</v>
      </c>
      <c r="H304" s="183">
        <f t="shared" si="40"/>
        <v>80.43565333333333</v>
      </c>
      <c r="I304" s="381">
        <f t="shared" si="41"/>
        <v>0.3842467515923567</v>
      </c>
      <c r="J304" s="6"/>
    </row>
    <row r="305" spans="1:10" ht="25.5" customHeight="1">
      <c r="A305" s="119"/>
      <c r="B305" s="218"/>
      <c r="C305" s="491" t="s">
        <v>373</v>
      </c>
      <c r="D305" s="491"/>
      <c r="E305" s="219">
        <f>E297+E302+E303</f>
        <v>336400</v>
      </c>
      <c r="F305" s="219">
        <f>F297+F302+F303</f>
        <v>-9346.520000000004</v>
      </c>
      <c r="G305" s="219">
        <f>G297+G302+G303</f>
        <v>327053.48</v>
      </c>
      <c r="H305" s="333">
        <f t="shared" si="40"/>
        <v>97.22160523186682</v>
      </c>
      <c r="I305" s="387">
        <f t="shared" si="41"/>
        <v>1.0415715923566877</v>
      </c>
      <c r="J305" s="6"/>
    </row>
    <row r="306" spans="1:10" ht="9.75" customHeight="1">
      <c r="A306" s="509"/>
      <c r="B306" s="510"/>
      <c r="C306" s="494" t="s">
        <v>481</v>
      </c>
      <c r="D306" s="495"/>
      <c r="E306" s="187"/>
      <c r="F306" s="187"/>
      <c r="G306" s="187"/>
      <c r="H306" s="187"/>
      <c r="I306" s="188"/>
      <c r="J306" s="6"/>
    </row>
    <row r="307" spans="1:10" ht="9.75" customHeight="1">
      <c r="A307" s="509"/>
      <c r="B307" s="510"/>
      <c r="C307" s="495"/>
      <c r="D307" s="495"/>
      <c r="E307" s="189"/>
      <c r="F307" s="189"/>
      <c r="G307" s="189"/>
      <c r="H307" s="189"/>
      <c r="I307" s="190"/>
      <c r="J307" s="6"/>
    </row>
    <row r="308" spans="1:10" ht="30" customHeight="1">
      <c r="A308" s="509"/>
      <c r="B308" s="510"/>
      <c r="C308" s="495"/>
      <c r="D308" s="495"/>
      <c r="E308" s="191"/>
      <c r="F308" s="191"/>
      <c r="G308" s="191"/>
      <c r="H308" s="191"/>
      <c r="I308" s="192"/>
      <c r="J308" s="6"/>
    </row>
    <row r="309" spans="1:10" ht="14.25" customHeight="1">
      <c r="A309" s="119"/>
      <c r="B309" s="47">
        <v>412000</v>
      </c>
      <c r="C309" s="60"/>
      <c r="D309" s="133" t="s">
        <v>114</v>
      </c>
      <c r="E309" s="135">
        <f>SUM(E310:E312)</f>
        <v>42400</v>
      </c>
      <c r="F309" s="135">
        <f>SUM(F310:F312)</f>
        <v>-1500</v>
      </c>
      <c r="G309" s="135">
        <f>SUM(G310:G312)</f>
        <v>40900</v>
      </c>
      <c r="H309" s="135">
        <f aca="true" t="shared" si="42" ref="H309:H326">G309/E309*100</f>
        <v>96.4622641509434</v>
      </c>
      <c r="I309" s="171">
        <f aca="true" t="shared" si="43" ref="I309:I326">G309/$G$562*100</f>
        <v>0.1302547770700637</v>
      </c>
      <c r="J309" s="6"/>
    </row>
    <row r="310" spans="1:10" ht="12.75">
      <c r="A310" s="121" t="s">
        <v>42</v>
      </c>
      <c r="B310" s="122"/>
      <c r="C310" s="90">
        <v>412700</v>
      </c>
      <c r="D310" s="122" t="s">
        <v>41</v>
      </c>
      <c r="E310" s="144">
        <v>3000</v>
      </c>
      <c r="F310" s="144">
        <f>G310-E310</f>
        <v>-1500</v>
      </c>
      <c r="G310" s="186">
        <v>1500</v>
      </c>
      <c r="H310" s="138">
        <f t="shared" si="42"/>
        <v>50</v>
      </c>
      <c r="I310" s="380">
        <f t="shared" si="43"/>
        <v>0.004777070063694267</v>
      </c>
      <c r="J310" s="6"/>
    </row>
    <row r="311" spans="1:10" ht="12.75">
      <c r="A311" s="119" t="s">
        <v>42</v>
      </c>
      <c r="B311" s="122"/>
      <c r="C311" s="90">
        <v>412700</v>
      </c>
      <c r="D311" s="82" t="s">
        <v>96</v>
      </c>
      <c r="E311" s="142">
        <v>39000</v>
      </c>
      <c r="F311" s="144">
        <f>G311-E311</f>
        <v>0</v>
      </c>
      <c r="G311" s="142">
        <v>39000</v>
      </c>
      <c r="H311" s="138">
        <f t="shared" si="42"/>
        <v>100</v>
      </c>
      <c r="I311" s="380">
        <f t="shared" si="43"/>
        <v>0.12420382165605096</v>
      </c>
      <c r="J311" s="6"/>
    </row>
    <row r="312" spans="1:10" ht="12.75">
      <c r="A312" s="119" t="s">
        <v>21</v>
      </c>
      <c r="B312" s="122"/>
      <c r="C312" s="60">
        <v>412900</v>
      </c>
      <c r="D312" s="193" t="s">
        <v>0</v>
      </c>
      <c r="E312" s="142">
        <v>400</v>
      </c>
      <c r="F312" s="144">
        <f>G312-E312</f>
        <v>0</v>
      </c>
      <c r="G312" s="142">
        <v>400</v>
      </c>
      <c r="H312" s="138">
        <f t="shared" si="42"/>
        <v>100</v>
      </c>
      <c r="I312" s="380">
        <f t="shared" si="43"/>
        <v>0.0012738853503184715</v>
      </c>
      <c r="J312" s="6"/>
    </row>
    <row r="313" spans="1:10" ht="14.25" customHeight="1">
      <c r="A313" s="119"/>
      <c r="B313" s="47">
        <v>414000</v>
      </c>
      <c r="C313" s="90"/>
      <c r="D313" s="220" t="s">
        <v>166</v>
      </c>
      <c r="E313" s="173">
        <f>SUM(E314:E314)</f>
        <v>550000</v>
      </c>
      <c r="F313" s="173">
        <f>SUM(F314:F314)</f>
        <v>0</v>
      </c>
      <c r="G313" s="173">
        <f>SUM(G314:G314)</f>
        <v>550000</v>
      </c>
      <c r="H313" s="135">
        <f t="shared" si="42"/>
        <v>100</v>
      </c>
      <c r="I313" s="171">
        <f t="shared" si="43"/>
        <v>1.7515923566878981</v>
      </c>
      <c r="J313" s="6"/>
    </row>
    <row r="314" spans="1:10" ht="12.75" customHeight="1">
      <c r="A314" s="119" t="s">
        <v>42</v>
      </c>
      <c r="B314" s="122"/>
      <c r="C314" s="90">
        <v>414100</v>
      </c>
      <c r="D314" s="156" t="s">
        <v>167</v>
      </c>
      <c r="E314" s="144">
        <v>550000</v>
      </c>
      <c r="F314" s="144">
        <f>G314-E314</f>
        <v>0</v>
      </c>
      <c r="G314" s="144">
        <v>550000</v>
      </c>
      <c r="H314" s="138">
        <f t="shared" si="42"/>
        <v>100</v>
      </c>
      <c r="I314" s="380">
        <f t="shared" si="43"/>
        <v>1.7515923566878981</v>
      </c>
      <c r="J314" s="6"/>
    </row>
    <row r="315" spans="1:10" ht="14.25" customHeight="1">
      <c r="A315" s="119"/>
      <c r="B315" s="47">
        <v>416000</v>
      </c>
      <c r="C315" s="90"/>
      <c r="D315" s="133" t="s">
        <v>1</v>
      </c>
      <c r="E315" s="221">
        <f>SUM(E316:E316)</f>
        <v>5000</v>
      </c>
      <c r="F315" s="221">
        <f>SUM(F316:F316)</f>
        <v>0</v>
      </c>
      <c r="G315" s="221">
        <f>SUM(G316:G316)</f>
        <v>5000</v>
      </c>
      <c r="H315" s="135">
        <f t="shared" si="42"/>
        <v>100</v>
      </c>
      <c r="I315" s="171">
        <f t="shared" si="43"/>
        <v>0.01592356687898089</v>
      </c>
      <c r="J315" s="6"/>
    </row>
    <row r="316" spans="1:10" ht="12.75">
      <c r="A316" s="119" t="s">
        <v>42</v>
      </c>
      <c r="B316" s="122"/>
      <c r="C316" s="71">
        <v>416100</v>
      </c>
      <c r="D316" s="82" t="s">
        <v>170</v>
      </c>
      <c r="E316" s="144">
        <v>5000</v>
      </c>
      <c r="F316" s="144">
        <f>G316-E316</f>
        <v>0</v>
      </c>
      <c r="G316" s="144">
        <v>5000</v>
      </c>
      <c r="H316" s="138">
        <f t="shared" si="42"/>
        <v>100</v>
      </c>
      <c r="I316" s="380">
        <f t="shared" si="43"/>
        <v>0.01592356687898089</v>
      </c>
      <c r="J316" s="6"/>
    </row>
    <row r="317" spans="1:10" ht="25.5">
      <c r="A317" s="119"/>
      <c r="B317" s="122"/>
      <c r="C317" s="71"/>
      <c r="D317" s="133" t="s">
        <v>277</v>
      </c>
      <c r="E317" s="222">
        <f>SUM(E318:E319)</f>
        <v>260000</v>
      </c>
      <c r="F317" s="222">
        <f>SUM(F318:F319)</f>
        <v>-15000</v>
      </c>
      <c r="G317" s="222">
        <f>SUM(G318:G319)</f>
        <v>245000</v>
      </c>
      <c r="H317" s="135">
        <f t="shared" si="42"/>
        <v>94.23076923076923</v>
      </c>
      <c r="I317" s="171">
        <f t="shared" si="43"/>
        <v>0.7802547770700637</v>
      </c>
      <c r="J317" s="6"/>
    </row>
    <row r="318" spans="1:10" ht="14.25" customHeight="1">
      <c r="A318" s="119" t="s">
        <v>36</v>
      </c>
      <c r="B318" s="122"/>
      <c r="C318" s="71">
        <v>412500</v>
      </c>
      <c r="D318" s="82" t="s">
        <v>583</v>
      </c>
      <c r="E318" s="142">
        <v>60000</v>
      </c>
      <c r="F318" s="142">
        <f>G318-E318</f>
        <v>-15000</v>
      </c>
      <c r="G318" s="142">
        <v>45000</v>
      </c>
      <c r="H318" s="138">
        <f t="shared" si="42"/>
        <v>75</v>
      </c>
      <c r="I318" s="380">
        <f t="shared" si="43"/>
        <v>0.14331210191082802</v>
      </c>
      <c r="J318" s="6"/>
    </row>
    <row r="319" spans="1:10" ht="25.5">
      <c r="A319" s="119" t="s">
        <v>36</v>
      </c>
      <c r="B319" s="122"/>
      <c r="C319" s="71">
        <v>511200</v>
      </c>
      <c r="D319" s="82" t="s">
        <v>584</v>
      </c>
      <c r="E319" s="142">
        <v>200000</v>
      </c>
      <c r="F319" s="142">
        <f>G319-E319</f>
        <v>0</v>
      </c>
      <c r="G319" s="142">
        <v>200000</v>
      </c>
      <c r="H319" s="138">
        <f t="shared" si="42"/>
        <v>100</v>
      </c>
      <c r="I319" s="380">
        <f t="shared" si="43"/>
        <v>0.6369426751592357</v>
      </c>
      <c r="J319" s="416"/>
    </row>
    <row r="320" spans="1:10" ht="26.25" customHeight="1">
      <c r="A320" s="119"/>
      <c r="B320" s="122"/>
      <c r="C320" s="79"/>
      <c r="D320" s="133" t="s">
        <v>105</v>
      </c>
      <c r="E320" s="173">
        <f>SUM(E321:E325)</f>
        <v>185000</v>
      </c>
      <c r="F320" s="173">
        <f>SUM(F321:F325)</f>
        <v>0</v>
      </c>
      <c r="G320" s="173">
        <f>SUM(G321:G325)</f>
        <v>185000</v>
      </c>
      <c r="H320" s="135">
        <f t="shared" si="42"/>
        <v>100</v>
      </c>
      <c r="I320" s="171">
        <f t="shared" si="43"/>
        <v>0.5891719745222931</v>
      </c>
      <c r="J320" s="413"/>
    </row>
    <row r="321" spans="1:10" ht="14.25" customHeight="1">
      <c r="A321" s="121" t="s">
        <v>154</v>
      </c>
      <c r="B321" s="122"/>
      <c r="C321" s="90">
        <v>412700</v>
      </c>
      <c r="D321" s="82" t="s">
        <v>106</v>
      </c>
      <c r="E321" s="144">
        <v>10000</v>
      </c>
      <c r="F321" s="144">
        <f>G321-E321</f>
        <v>-2000</v>
      </c>
      <c r="G321" s="144">
        <v>8000</v>
      </c>
      <c r="H321" s="138">
        <f t="shared" si="42"/>
        <v>80</v>
      </c>
      <c r="I321" s="380">
        <f t="shared" si="43"/>
        <v>0.025477707006369425</v>
      </c>
      <c r="J321" s="6"/>
    </row>
    <row r="322" spans="1:10" ht="12.75">
      <c r="A322" s="121" t="s">
        <v>42</v>
      </c>
      <c r="B322" s="122"/>
      <c r="C322" s="71">
        <v>412800</v>
      </c>
      <c r="D322" s="82" t="s">
        <v>250</v>
      </c>
      <c r="E322" s="144">
        <v>10000</v>
      </c>
      <c r="F322" s="144">
        <f>G322-E322</f>
        <v>0</v>
      </c>
      <c r="G322" s="144">
        <v>10000</v>
      </c>
      <c r="H322" s="138">
        <f t="shared" si="42"/>
        <v>100</v>
      </c>
      <c r="I322" s="380">
        <f t="shared" si="43"/>
        <v>0.03184713375796178</v>
      </c>
      <c r="J322" s="6"/>
    </row>
    <row r="323" spans="1:10" ht="6" customHeight="1" hidden="1">
      <c r="A323" s="121" t="s">
        <v>152</v>
      </c>
      <c r="B323" s="122"/>
      <c r="C323" s="71">
        <v>415200</v>
      </c>
      <c r="D323" s="87" t="s">
        <v>357</v>
      </c>
      <c r="E323" s="144"/>
      <c r="F323" s="144">
        <f>G323-E323</f>
        <v>0</v>
      </c>
      <c r="G323" s="144"/>
      <c r="H323" s="138" t="e">
        <f t="shared" si="42"/>
        <v>#DIV/0!</v>
      </c>
      <c r="I323" s="380">
        <f t="shared" si="43"/>
        <v>0</v>
      </c>
      <c r="J323" s="6"/>
    </row>
    <row r="324" spans="1:10" ht="15.75" customHeight="1">
      <c r="A324" s="223" t="s">
        <v>152</v>
      </c>
      <c r="B324" s="122"/>
      <c r="C324" s="71">
        <v>415200</v>
      </c>
      <c r="D324" s="115" t="s">
        <v>406</v>
      </c>
      <c r="E324" s="144">
        <v>25000</v>
      </c>
      <c r="F324" s="144">
        <f>G324-E324</f>
        <v>0</v>
      </c>
      <c r="G324" s="144">
        <v>25000</v>
      </c>
      <c r="H324" s="138">
        <f t="shared" si="42"/>
        <v>100</v>
      </c>
      <c r="I324" s="380">
        <f t="shared" si="43"/>
        <v>0.07961783439490447</v>
      </c>
      <c r="J324" s="6"/>
    </row>
    <row r="325" spans="1:10" ht="25.5" customHeight="1">
      <c r="A325" s="121" t="s">
        <v>152</v>
      </c>
      <c r="B325" s="122"/>
      <c r="C325" s="71">
        <v>511200</v>
      </c>
      <c r="D325" s="115" t="s">
        <v>553</v>
      </c>
      <c r="E325" s="144">
        <v>140000</v>
      </c>
      <c r="F325" s="144">
        <f>G325-E325</f>
        <v>2000</v>
      </c>
      <c r="G325" s="144">
        <v>142000</v>
      </c>
      <c r="H325" s="138">
        <f t="shared" si="42"/>
        <v>101.42857142857142</v>
      </c>
      <c r="I325" s="380">
        <f t="shared" si="43"/>
        <v>0.45222929936305734</v>
      </c>
      <c r="J325" s="6"/>
    </row>
    <row r="326" spans="1:10" ht="24.75" customHeight="1">
      <c r="A326" s="505"/>
      <c r="B326" s="506"/>
      <c r="C326" s="491" t="s">
        <v>81</v>
      </c>
      <c r="D326" s="491"/>
      <c r="E326" s="157">
        <f>E309+E313+E315+E317+E320</f>
        <v>1042400</v>
      </c>
      <c r="F326" s="157">
        <f>F309+F313+F315+F317+F320</f>
        <v>-16500</v>
      </c>
      <c r="G326" s="157">
        <f>G309+G313+G315+G317+G320</f>
        <v>1025900</v>
      </c>
      <c r="H326" s="354">
        <f t="shared" si="42"/>
        <v>98.41711435149655</v>
      </c>
      <c r="I326" s="335">
        <f t="shared" si="43"/>
        <v>3.2671974522292992</v>
      </c>
      <c r="J326" s="6"/>
    </row>
    <row r="327" spans="1:10" ht="12.75">
      <c r="A327" s="509"/>
      <c r="B327" s="510"/>
      <c r="C327" s="494" t="s">
        <v>480</v>
      </c>
      <c r="D327" s="495"/>
      <c r="E327" s="187"/>
      <c r="F327" s="187"/>
      <c r="G327" s="187"/>
      <c r="H327" s="187"/>
      <c r="I327" s="188"/>
      <c r="J327" s="6"/>
    </row>
    <row r="328" spans="1:10" ht="12.75">
      <c r="A328" s="509"/>
      <c r="B328" s="510"/>
      <c r="C328" s="495"/>
      <c r="D328" s="495"/>
      <c r="E328" s="189"/>
      <c r="F328" s="189"/>
      <c r="G328" s="189"/>
      <c r="H328" s="189"/>
      <c r="I328" s="190"/>
      <c r="J328" s="6"/>
    </row>
    <row r="329" spans="1:10" ht="17.25" customHeight="1">
      <c r="A329" s="509"/>
      <c r="B329" s="510"/>
      <c r="C329" s="495"/>
      <c r="D329" s="495"/>
      <c r="E329" s="191"/>
      <c r="F329" s="191"/>
      <c r="G329" s="191"/>
      <c r="H329" s="191"/>
      <c r="I329" s="192"/>
      <c r="J329" s="6"/>
    </row>
    <row r="330" spans="1:10" ht="14.25" customHeight="1">
      <c r="A330" s="119"/>
      <c r="B330" s="47">
        <v>411000</v>
      </c>
      <c r="C330" s="72"/>
      <c r="D330" s="65" t="s">
        <v>299</v>
      </c>
      <c r="E330" s="134">
        <f>SUM(E331:E334)</f>
        <v>443100</v>
      </c>
      <c r="F330" s="134">
        <f>SUM(F331:F334)</f>
        <v>-40000</v>
      </c>
      <c r="G330" s="134">
        <f>SUM(G331:G334)</f>
        <v>403100</v>
      </c>
      <c r="H330" s="135">
        <f aca="true" t="shared" si="44" ref="H330:H372">G330/E330*100</f>
        <v>90.97269239449334</v>
      </c>
      <c r="I330" s="171">
        <f aca="true" t="shared" si="45" ref="I330:I372">G330/$G$562*100</f>
        <v>1.2837579617834394</v>
      </c>
      <c r="J330" s="6"/>
    </row>
    <row r="331" spans="1:10" ht="12.75" customHeight="1">
      <c r="A331" s="119">
        <v>1090</v>
      </c>
      <c r="B331" s="122"/>
      <c r="C331" s="60">
        <v>411100</v>
      </c>
      <c r="D331" s="66" t="s">
        <v>295</v>
      </c>
      <c r="E331" s="138">
        <v>318000</v>
      </c>
      <c r="F331" s="138">
        <f>G331-E331</f>
        <v>-18000</v>
      </c>
      <c r="G331" s="138">
        <v>300000</v>
      </c>
      <c r="H331" s="138">
        <f t="shared" si="44"/>
        <v>94.33962264150944</v>
      </c>
      <c r="I331" s="380">
        <f t="shared" si="45"/>
        <v>0.9554140127388535</v>
      </c>
      <c r="J331" s="6"/>
    </row>
    <row r="332" spans="1:10" ht="25.5">
      <c r="A332" s="119">
        <v>1090</v>
      </c>
      <c r="B332" s="122"/>
      <c r="C332" s="60">
        <v>411200</v>
      </c>
      <c r="D332" s="66" t="s">
        <v>300</v>
      </c>
      <c r="E332" s="142">
        <v>99000</v>
      </c>
      <c r="F332" s="138">
        <f>G332-E332</f>
        <v>-14000</v>
      </c>
      <c r="G332" s="142">
        <v>85000</v>
      </c>
      <c r="H332" s="138">
        <f t="shared" si="44"/>
        <v>85.85858585858585</v>
      </c>
      <c r="I332" s="380">
        <f t="shared" si="45"/>
        <v>0.27070063694267515</v>
      </c>
      <c r="J332" s="6"/>
    </row>
    <row r="333" spans="1:10" ht="25.5">
      <c r="A333" s="119">
        <v>1090</v>
      </c>
      <c r="B333" s="122"/>
      <c r="C333" s="60">
        <v>411300</v>
      </c>
      <c r="D333" s="66" t="s">
        <v>375</v>
      </c>
      <c r="E333" s="142">
        <v>22000</v>
      </c>
      <c r="F333" s="138">
        <f>G333-E333</f>
        <v>-8000</v>
      </c>
      <c r="G333" s="142">
        <v>14000</v>
      </c>
      <c r="H333" s="138">
        <f t="shared" si="44"/>
        <v>63.63636363636363</v>
      </c>
      <c r="I333" s="380">
        <f t="shared" si="45"/>
        <v>0.044585987261146494</v>
      </c>
      <c r="J333" s="6"/>
    </row>
    <row r="334" spans="1:10" ht="12.75" customHeight="1">
      <c r="A334" s="119">
        <v>1090</v>
      </c>
      <c r="B334" s="122"/>
      <c r="C334" s="60">
        <v>411400</v>
      </c>
      <c r="D334" s="67" t="s">
        <v>296</v>
      </c>
      <c r="E334" s="144">
        <v>4100</v>
      </c>
      <c r="F334" s="138">
        <f>G334-E334</f>
        <v>0</v>
      </c>
      <c r="G334" s="144">
        <v>4100</v>
      </c>
      <c r="H334" s="138">
        <f t="shared" si="44"/>
        <v>100</v>
      </c>
      <c r="I334" s="380">
        <f t="shared" si="45"/>
        <v>0.013057324840764332</v>
      </c>
      <c r="J334" s="6"/>
    </row>
    <row r="335" spans="1:10" ht="14.25" customHeight="1">
      <c r="A335" s="119"/>
      <c r="B335" s="47">
        <v>412000</v>
      </c>
      <c r="C335" s="60"/>
      <c r="D335" s="133" t="s">
        <v>114</v>
      </c>
      <c r="E335" s="173">
        <f>SUM(E336:E347)</f>
        <v>178100</v>
      </c>
      <c r="F335" s="173">
        <f>SUM(F336:F347)</f>
        <v>23115</v>
      </c>
      <c r="G335" s="173">
        <f>SUM(G336:G347)</f>
        <v>201215</v>
      </c>
      <c r="H335" s="135">
        <f t="shared" si="44"/>
        <v>112.97866367209433</v>
      </c>
      <c r="I335" s="171">
        <f t="shared" si="45"/>
        <v>0.640812101910828</v>
      </c>
      <c r="J335" s="6"/>
    </row>
    <row r="336" spans="1:10" ht="26.25" customHeight="1">
      <c r="A336" s="119">
        <v>1090</v>
      </c>
      <c r="B336" s="122"/>
      <c r="C336" s="60">
        <v>412200</v>
      </c>
      <c r="D336" s="82" t="s">
        <v>116</v>
      </c>
      <c r="E336" s="144">
        <v>72100</v>
      </c>
      <c r="F336" s="144">
        <f>G336-E336</f>
        <v>6100</v>
      </c>
      <c r="G336" s="144">
        <v>78200</v>
      </c>
      <c r="H336" s="138">
        <f t="shared" si="44"/>
        <v>108.46047156726767</v>
      </c>
      <c r="I336" s="380">
        <f t="shared" si="45"/>
        <v>0.24904458598726115</v>
      </c>
      <c r="J336" s="6"/>
    </row>
    <row r="337" spans="1:10" ht="12.75" customHeight="1">
      <c r="A337" s="119">
        <v>1090</v>
      </c>
      <c r="B337" s="122"/>
      <c r="C337" s="60">
        <v>412300</v>
      </c>
      <c r="D337" s="122" t="s">
        <v>117</v>
      </c>
      <c r="E337" s="144">
        <v>5500</v>
      </c>
      <c r="F337" s="144">
        <f aca="true" t="shared" si="46" ref="F337:F347">G337-E337</f>
        <v>0</v>
      </c>
      <c r="G337" s="144">
        <v>5500</v>
      </c>
      <c r="H337" s="138">
        <f t="shared" si="44"/>
        <v>100</v>
      </c>
      <c r="I337" s="380">
        <f t="shared" si="45"/>
        <v>0.01751592356687898</v>
      </c>
      <c r="J337" s="6"/>
    </row>
    <row r="338" spans="1:10" ht="12.75" customHeight="1">
      <c r="A338" s="119">
        <v>1090</v>
      </c>
      <c r="B338" s="122"/>
      <c r="C338" s="60">
        <v>412500</v>
      </c>
      <c r="D338" s="122" t="s">
        <v>119</v>
      </c>
      <c r="E338" s="144">
        <v>3000</v>
      </c>
      <c r="F338" s="144">
        <f t="shared" si="46"/>
        <v>0</v>
      </c>
      <c r="G338" s="144">
        <v>3000</v>
      </c>
      <c r="H338" s="138">
        <f t="shared" si="44"/>
        <v>100</v>
      </c>
      <c r="I338" s="380">
        <f t="shared" si="45"/>
        <v>0.009554140127388535</v>
      </c>
      <c r="J338" s="6"/>
    </row>
    <row r="339" spans="1:10" ht="12.75" customHeight="1">
      <c r="A339" s="119">
        <v>1090</v>
      </c>
      <c r="B339" s="122"/>
      <c r="C339" s="60">
        <v>412600</v>
      </c>
      <c r="D339" s="193" t="s">
        <v>120</v>
      </c>
      <c r="E339" s="144">
        <v>600</v>
      </c>
      <c r="F339" s="144">
        <f t="shared" si="46"/>
        <v>-200</v>
      </c>
      <c r="G339" s="144">
        <v>400</v>
      </c>
      <c r="H339" s="138">
        <f t="shared" si="44"/>
        <v>66.66666666666666</v>
      </c>
      <c r="I339" s="380">
        <f t="shared" si="45"/>
        <v>0.0012738853503184715</v>
      </c>
      <c r="J339" s="6"/>
    </row>
    <row r="340" spans="1:10" ht="12.75" customHeight="1">
      <c r="A340" s="119" t="s">
        <v>26</v>
      </c>
      <c r="B340" s="122"/>
      <c r="C340" s="122">
        <v>412700</v>
      </c>
      <c r="D340" s="122" t="s">
        <v>121</v>
      </c>
      <c r="E340" s="144">
        <v>3000</v>
      </c>
      <c r="F340" s="144">
        <f t="shared" si="46"/>
        <v>-500</v>
      </c>
      <c r="G340" s="144">
        <v>2500</v>
      </c>
      <c r="H340" s="138">
        <f t="shared" si="44"/>
        <v>83.33333333333334</v>
      </c>
      <c r="I340" s="380">
        <f t="shared" si="45"/>
        <v>0.007961783439490446</v>
      </c>
      <c r="J340" s="6"/>
    </row>
    <row r="341" spans="1:10" ht="12.75" customHeight="1">
      <c r="A341" s="119" t="s">
        <v>26</v>
      </c>
      <c r="B341" s="122"/>
      <c r="C341" s="122">
        <v>412900</v>
      </c>
      <c r="D341" s="122" t="s">
        <v>432</v>
      </c>
      <c r="E341" s="144">
        <v>40000</v>
      </c>
      <c r="F341" s="144">
        <f t="shared" si="46"/>
        <v>7000</v>
      </c>
      <c r="G341" s="144">
        <v>47000</v>
      </c>
      <c r="H341" s="138">
        <f t="shared" si="44"/>
        <v>117.5</v>
      </c>
      <c r="I341" s="380">
        <f t="shared" si="45"/>
        <v>0.14968152866242038</v>
      </c>
      <c r="J341" s="6"/>
    </row>
    <row r="342" spans="1:10" ht="12.75" customHeight="1">
      <c r="A342" s="119" t="s">
        <v>26</v>
      </c>
      <c r="B342" s="122"/>
      <c r="C342" s="122">
        <v>412900</v>
      </c>
      <c r="D342" s="122" t="s">
        <v>123</v>
      </c>
      <c r="E342" s="144">
        <v>1500</v>
      </c>
      <c r="F342" s="144">
        <f t="shared" si="46"/>
        <v>300</v>
      </c>
      <c r="G342" s="144">
        <v>1800</v>
      </c>
      <c r="H342" s="138">
        <f t="shared" si="44"/>
        <v>120</v>
      </c>
      <c r="I342" s="380">
        <f t="shared" si="45"/>
        <v>0.0057324840764331215</v>
      </c>
      <c r="J342" s="6"/>
    </row>
    <row r="343" spans="1:10" ht="12.75" customHeight="1">
      <c r="A343" s="119" t="s">
        <v>26</v>
      </c>
      <c r="B343" s="122"/>
      <c r="C343" s="122">
        <v>412900</v>
      </c>
      <c r="D343" s="122" t="s">
        <v>621</v>
      </c>
      <c r="E343" s="144">
        <v>0</v>
      </c>
      <c r="F343" s="144">
        <f t="shared" si="46"/>
        <v>9520</v>
      </c>
      <c r="G343" s="144">
        <v>9520</v>
      </c>
      <c r="H343" s="138" t="e">
        <f t="shared" si="44"/>
        <v>#DIV/0!</v>
      </c>
      <c r="I343" s="380">
        <f t="shared" si="45"/>
        <v>0.030318471337579617</v>
      </c>
      <c r="J343" s="6"/>
    </row>
    <row r="344" spans="1:10" ht="12.75" customHeight="1">
      <c r="A344" s="119" t="s">
        <v>26</v>
      </c>
      <c r="B344" s="122"/>
      <c r="C344" s="122">
        <v>412900</v>
      </c>
      <c r="D344" s="122" t="s">
        <v>384</v>
      </c>
      <c r="E344" s="144">
        <v>10000</v>
      </c>
      <c r="F344" s="144">
        <f t="shared" si="46"/>
        <v>0</v>
      </c>
      <c r="G344" s="144">
        <v>10000</v>
      </c>
      <c r="H344" s="138">
        <f t="shared" si="44"/>
        <v>100</v>
      </c>
      <c r="I344" s="380">
        <f t="shared" si="45"/>
        <v>0.03184713375796178</v>
      </c>
      <c r="J344" s="6"/>
    </row>
    <row r="345" spans="1:10" ht="12.75" customHeight="1">
      <c r="A345" s="238" t="s">
        <v>26</v>
      </c>
      <c r="B345" s="122"/>
      <c r="C345" s="122">
        <v>418400</v>
      </c>
      <c r="D345" s="82" t="s">
        <v>467</v>
      </c>
      <c r="E345" s="144">
        <v>22900</v>
      </c>
      <c r="F345" s="144">
        <f t="shared" si="46"/>
        <v>320</v>
      </c>
      <c r="G345" s="144">
        <v>23220</v>
      </c>
      <c r="H345" s="138">
        <f t="shared" si="44"/>
        <v>101.39737991266375</v>
      </c>
      <c r="I345" s="380">
        <f t="shared" si="45"/>
        <v>0.07394904458598726</v>
      </c>
      <c r="J345" s="6"/>
    </row>
    <row r="346" spans="1:10" ht="27.75" customHeight="1">
      <c r="A346" s="238" t="s">
        <v>26</v>
      </c>
      <c r="B346" s="122"/>
      <c r="C346" s="122">
        <v>418400</v>
      </c>
      <c r="D346" s="82" t="s">
        <v>468</v>
      </c>
      <c r="E346" s="144">
        <v>19500</v>
      </c>
      <c r="F346" s="144">
        <f t="shared" si="46"/>
        <v>430</v>
      </c>
      <c r="G346" s="144">
        <v>19930</v>
      </c>
      <c r="H346" s="138">
        <f t="shared" si="44"/>
        <v>102.20512820512822</v>
      </c>
      <c r="I346" s="380">
        <f t="shared" si="45"/>
        <v>0.06347133757961783</v>
      </c>
      <c r="J346" s="6"/>
    </row>
    <row r="347" spans="1:10" ht="12.75" customHeight="1">
      <c r="A347" s="238" t="s">
        <v>26</v>
      </c>
      <c r="B347" s="122"/>
      <c r="C347" s="122">
        <v>418400</v>
      </c>
      <c r="D347" s="82" t="s">
        <v>624</v>
      </c>
      <c r="E347" s="144">
        <v>0</v>
      </c>
      <c r="F347" s="144">
        <f t="shared" si="46"/>
        <v>145</v>
      </c>
      <c r="G347" s="144">
        <v>145</v>
      </c>
      <c r="H347" s="138" t="e">
        <f t="shared" si="44"/>
        <v>#DIV/0!</v>
      </c>
      <c r="I347" s="380">
        <f t="shared" si="45"/>
        <v>0.00046178343949044583</v>
      </c>
      <c r="J347" s="6"/>
    </row>
    <row r="348" spans="1:10" ht="14.25" customHeight="1">
      <c r="A348" s="119"/>
      <c r="B348" s="47"/>
      <c r="C348" s="60"/>
      <c r="D348" s="145" t="s">
        <v>43</v>
      </c>
      <c r="E348" s="139">
        <f>SUM(E349:E363)</f>
        <v>3541500</v>
      </c>
      <c r="F348" s="139">
        <f>SUM(F349:F363)</f>
        <v>699700</v>
      </c>
      <c r="G348" s="139">
        <f>SUM(G349:G363)</f>
        <v>4241200</v>
      </c>
      <c r="H348" s="135">
        <f t="shared" si="44"/>
        <v>119.75716504306084</v>
      </c>
      <c r="I348" s="171">
        <f t="shared" si="45"/>
        <v>13.507006369426753</v>
      </c>
      <c r="J348" s="424"/>
    </row>
    <row r="349" spans="1:11" ht="12.75">
      <c r="A349" s="119">
        <v>1090</v>
      </c>
      <c r="B349" s="122"/>
      <c r="C349" s="60">
        <v>416100</v>
      </c>
      <c r="D349" s="82" t="s">
        <v>45</v>
      </c>
      <c r="E349" s="417">
        <v>103000</v>
      </c>
      <c r="F349" s="142">
        <f>G349-E349</f>
        <v>15500</v>
      </c>
      <c r="G349" s="417">
        <v>118500</v>
      </c>
      <c r="H349" s="138">
        <f t="shared" si="44"/>
        <v>115.04854368932038</v>
      </c>
      <c r="I349" s="380">
        <f t="shared" si="45"/>
        <v>0.37738853503184716</v>
      </c>
      <c r="J349" s="425"/>
      <c r="K349" s="1"/>
    </row>
    <row r="350" spans="1:13" ht="12.75" customHeight="1">
      <c r="A350" s="119" t="s">
        <v>26</v>
      </c>
      <c r="B350" s="122"/>
      <c r="C350" s="60">
        <v>416100</v>
      </c>
      <c r="D350" s="82" t="s">
        <v>182</v>
      </c>
      <c r="E350" s="418">
        <v>103000</v>
      </c>
      <c r="F350" s="142">
        <f aca="true" t="shared" si="47" ref="F350:F363">G350-E350</f>
        <v>15500</v>
      </c>
      <c r="G350" s="418">
        <v>118500</v>
      </c>
      <c r="H350" s="138">
        <f t="shared" si="44"/>
        <v>115.04854368932038</v>
      </c>
      <c r="I350" s="380">
        <f t="shared" si="45"/>
        <v>0.37738853503184716</v>
      </c>
      <c r="J350" s="413"/>
      <c r="K350" s="426"/>
      <c r="L350" s="426"/>
      <c r="M350" s="426"/>
    </row>
    <row r="351" spans="1:11" ht="12.75" customHeight="1">
      <c r="A351" s="119">
        <v>1090</v>
      </c>
      <c r="B351" s="122"/>
      <c r="C351" s="60">
        <v>416100</v>
      </c>
      <c r="D351" s="82" t="s">
        <v>98</v>
      </c>
      <c r="E351" s="418">
        <v>1047000</v>
      </c>
      <c r="F351" s="142">
        <f t="shared" si="47"/>
        <v>214000</v>
      </c>
      <c r="G351" s="418">
        <v>1261000</v>
      </c>
      <c r="H351" s="138">
        <f t="shared" si="44"/>
        <v>120.4393505253104</v>
      </c>
      <c r="I351" s="380">
        <f t="shared" si="45"/>
        <v>4.015923566878981</v>
      </c>
      <c r="J351" s="425"/>
      <c r="K351" s="1"/>
    </row>
    <row r="352" spans="1:11" ht="12.75">
      <c r="A352" s="119" t="s">
        <v>26</v>
      </c>
      <c r="B352" s="122"/>
      <c r="C352" s="60">
        <v>416100</v>
      </c>
      <c r="D352" s="82" t="s">
        <v>183</v>
      </c>
      <c r="E352" s="418">
        <v>1047000</v>
      </c>
      <c r="F352" s="142">
        <f t="shared" si="47"/>
        <v>214000</v>
      </c>
      <c r="G352" s="418">
        <v>1261000</v>
      </c>
      <c r="H352" s="138">
        <f t="shared" si="44"/>
        <v>120.4393505253104</v>
      </c>
      <c r="I352" s="380">
        <f t="shared" si="45"/>
        <v>4.015923566878981</v>
      </c>
      <c r="J352" s="413"/>
      <c r="K352" s="447"/>
    </row>
    <row r="353" spans="1:11" ht="12.75" customHeight="1">
      <c r="A353" s="119">
        <v>1090</v>
      </c>
      <c r="B353" s="122"/>
      <c r="C353" s="90">
        <v>416100</v>
      </c>
      <c r="D353" s="82" t="s">
        <v>47</v>
      </c>
      <c r="E353" s="417">
        <v>20000</v>
      </c>
      <c r="F353" s="142">
        <f t="shared" si="47"/>
        <v>0</v>
      </c>
      <c r="G353" s="417">
        <v>20000</v>
      </c>
      <c r="H353" s="138">
        <f t="shared" si="44"/>
        <v>100</v>
      </c>
      <c r="I353" s="380">
        <f t="shared" si="45"/>
        <v>0.06369426751592357</v>
      </c>
      <c r="J353" s="413"/>
      <c r="K353" s="1"/>
    </row>
    <row r="354" spans="1:11" ht="12.75" customHeight="1">
      <c r="A354" s="119">
        <v>1090</v>
      </c>
      <c r="B354" s="122"/>
      <c r="C354" s="90">
        <v>416100</v>
      </c>
      <c r="D354" s="82" t="s">
        <v>48</v>
      </c>
      <c r="E354" s="417">
        <v>52000</v>
      </c>
      <c r="F354" s="142">
        <f t="shared" si="47"/>
        <v>0</v>
      </c>
      <c r="G354" s="417">
        <v>52000</v>
      </c>
      <c r="H354" s="138">
        <f t="shared" si="44"/>
        <v>100</v>
      </c>
      <c r="I354" s="380">
        <f t="shared" si="45"/>
        <v>0.16560509554140126</v>
      </c>
      <c r="J354" s="425"/>
      <c r="K354" s="412"/>
    </row>
    <row r="355" spans="1:11" ht="26.25" customHeight="1">
      <c r="A355" s="119" t="s">
        <v>26</v>
      </c>
      <c r="B355" s="122"/>
      <c r="C355" s="90">
        <v>416100</v>
      </c>
      <c r="D355" s="82" t="s">
        <v>381</v>
      </c>
      <c r="E355" s="419">
        <v>467000</v>
      </c>
      <c r="F355" s="142">
        <f t="shared" si="47"/>
        <v>93000</v>
      </c>
      <c r="G355" s="419">
        <v>560000</v>
      </c>
      <c r="H355" s="138">
        <f t="shared" si="44"/>
        <v>119.91434689507494</v>
      </c>
      <c r="I355" s="380">
        <f t="shared" si="45"/>
        <v>1.78343949044586</v>
      </c>
      <c r="J355" s="425"/>
      <c r="K355" s="1"/>
    </row>
    <row r="356" spans="1:10" ht="25.5">
      <c r="A356" s="119" t="s">
        <v>26</v>
      </c>
      <c r="B356" s="122"/>
      <c r="C356" s="90">
        <v>416100</v>
      </c>
      <c r="D356" s="82" t="s">
        <v>396</v>
      </c>
      <c r="E356" s="419">
        <v>26500</v>
      </c>
      <c r="F356" s="142">
        <f t="shared" si="47"/>
        <v>4500</v>
      </c>
      <c r="G356" s="419">
        <v>31000</v>
      </c>
      <c r="H356" s="138">
        <f t="shared" si="44"/>
        <v>116.98113207547169</v>
      </c>
      <c r="I356" s="380">
        <f t="shared" si="45"/>
        <v>0.09872611464968152</v>
      </c>
      <c r="J356" s="410"/>
    </row>
    <row r="357" spans="1:10" ht="12.75" customHeight="1">
      <c r="A357" s="119" t="s">
        <v>26</v>
      </c>
      <c r="B357" s="122"/>
      <c r="C357" s="90">
        <v>416100</v>
      </c>
      <c r="D357" s="82" t="s">
        <v>407</v>
      </c>
      <c r="E357" s="417">
        <v>37000</v>
      </c>
      <c r="F357" s="142">
        <f t="shared" si="47"/>
        <v>-4000</v>
      </c>
      <c r="G357" s="417">
        <v>33000</v>
      </c>
      <c r="H357" s="138">
        <f t="shared" si="44"/>
        <v>89.1891891891892</v>
      </c>
      <c r="I357" s="380">
        <f t="shared" si="45"/>
        <v>0.10509554140127389</v>
      </c>
      <c r="J357" s="410"/>
    </row>
    <row r="358" spans="1:14" ht="12.75" customHeight="1">
      <c r="A358" s="119" t="s">
        <v>26</v>
      </c>
      <c r="B358" s="122"/>
      <c r="C358" s="60">
        <v>416300</v>
      </c>
      <c r="D358" s="122" t="s">
        <v>46</v>
      </c>
      <c r="E358" s="417">
        <v>95000</v>
      </c>
      <c r="F358" s="142">
        <f t="shared" si="47"/>
        <v>27000</v>
      </c>
      <c r="G358" s="417">
        <v>122000</v>
      </c>
      <c r="H358" s="138">
        <f t="shared" si="44"/>
        <v>128.42105263157896</v>
      </c>
      <c r="I358" s="380">
        <f t="shared" si="45"/>
        <v>0.3885350318471337</v>
      </c>
      <c r="J358" s="410"/>
      <c r="K358" s="421"/>
      <c r="L358" s="422"/>
      <c r="M358" s="423"/>
      <c r="N358" s="1"/>
    </row>
    <row r="359" spans="1:13" ht="25.5">
      <c r="A359" s="119" t="s">
        <v>26</v>
      </c>
      <c r="B359" s="122"/>
      <c r="C359" s="60">
        <v>416300</v>
      </c>
      <c r="D359" s="82" t="s">
        <v>408</v>
      </c>
      <c r="E359" s="417">
        <v>9000</v>
      </c>
      <c r="F359" s="142">
        <f t="shared" si="47"/>
        <v>0</v>
      </c>
      <c r="G359" s="417">
        <v>9000</v>
      </c>
      <c r="H359" s="138">
        <f t="shared" si="44"/>
        <v>100</v>
      </c>
      <c r="I359" s="380">
        <f t="shared" si="45"/>
        <v>0.028662420382165602</v>
      </c>
      <c r="J359" s="410"/>
      <c r="K359" s="421"/>
      <c r="L359" s="422"/>
      <c r="M359" s="423"/>
    </row>
    <row r="360" spans="1:13" ht="12.75">
      <c r="A360" s="119">
        <v>1090</v>
      </c>
      <c r="B360" s="122"/>
      <c r="C360" s="60">
        <v>416300</v>
      </c>
      <c r="D360" s="82" t="s">
        <v>97</v>
      </c>
      <c r="E360" s="417">
        <v>340000</v>
      </c>
      <c r="F360" s="142">
        <f t="shared" si="47"/>
        <v>117000</v>
      </c>
      <c r="G360" s="417">
        <v>457000</v>
      </c>
      <c r="H360" s="138">
        <f t="shared" si="44"/>
        <v>134.41176470588238</v>
      </c>
      <c r="I360" s="380">
        <f t="shared" si="45"/>
        <v>1.4554140127388535</v>
      </c>
      <c r="J360" s="410"/>
      <c r="K360" s="421"/>
      <c r="L360" s="422"/>
      <c r="M360" s="423"/>
    </row>
    <row r="361" spans="1:13" ht="12.75">
      <c r="A361" s="119" t="s">
        <v>26</v>
      </c>
      <c r="B361" s="122"/>
      <c r="C361" s="60">
        <v>418200</v>
      </c>
      <c r="D361" s="82" t="s">
        <v>426</v>
      </c>
      <c r="E361" s="417">
        <v>17000</v>
      </c>
      <c r="F361" s="142">
        <f t="shared" si="47"/>
        <v>3200</v>
      </c>
      <c r="G361" s="417">
        <v>20200</v>
      </c>
      <c r="H361" s="138">
        <f t="shared" si="44"/>
        <v>118.82352941176471</v>
      </c>
      <c r="I361" s="380">
        <f t="shared" si="45"/>
        <v>0.0643312101910828</v>
      </c>
      <c r="J361" s="410"/>
      <c r="K361" s="358"/>
      <c r="L361" s="358"/>
      <c r="M361" s="420"/>
    </row>
    <row r="362" spans="1:10" ht="12.75">
      <c r="A362" s="119" t="s">
        <v>26</v>
      </c>
      <c r="B362" s="47"/>
      <c r="C362" s="90">
        <v>487400</v>
      </c>
      <c r="D362" s="87" t="s">
        <v>44</v>
      </c>
      <c r="E362" s="417">
        <v>100000</v>
      </c>
      <c r="F362" s="142">
        <f t="shared" si="47"/>
        <v>0</v>
      </c>
      <c r="G362" s="417">
        <v>100000</v>
      </c>
      <c r="H362" s="138">
        <f t="shared" si="44"/>
        <v>100</v>
      </c>
      <c r="I362" s="380">
        <f t="shared" si="45"/>
        <v>0.3184713375796179</v>
      </c>
      <c r="J362" s="311"/>
    </row>
    <row r="363" spans="1:10" ht="12.75" customHeight="1">
      <c r="A363" s="119" t="s">
        <v>26</v>
      </c>
      <c r="B363" s="122"/>
      <c r="C363" s="90">
        <v>487400</v>
      </c>
      <c r="D363" s="87" t="s">
        <v>184</v>
      </c>
      <c r="E363" s="418">
        <v>78000</v>
      </c>
      <c r="F363" s="142">
        <f t="shared" si="47"/>
        <v>0</v>
      </c>
      <c r="G363" s="418">
        <v>78000</v>
      </c>
      <c r="H363" s="138">
        <f t="shared" si="44"/>
        <v>100</v>
      </c>
      <c r="I363" s="380">
        <f t="shared" si="45"/>
        <v>0.2484076433121019</v>
      </c>
      <c r="J363" s="6"/>
    </row>
    <row r="364" spans="1:10" ht="12.75" customHeight="1">
      <c r="A364" s="119"/>
      <c r="B364" s="47">
        <v>419000</v>
      </c>
      <c r="C364" s="60"/>
      <c r="D364" s="133" t="s">
        <v>283</v>
      </c>
      <c r="E364" s="173">
        <f>SUM(E365)</f>
        <v>2500</v>
      </c>
      <c r="F364" s="173">
        <f>SUM(F365)</f>
        <v>0</v>
      </c>
      <c r="G364" s="173">
        <f>SUM(G365)</f>
        <v>2500</v>
      </c>
      <c r="H364" s="135">
        <f t="shared" si="44"/>
        <v>100</v>
      </c>
      <c r="I364" s="171">
        <f t="shared" si="45"/>
        <v>0.007961783439490446</v>
      </c>
      <c r="J364" s="6"/>
    </row>
    <row r="365" spans="1:10" ht="12.75" customHeight="1">
      <c r="A365" s="119" t="s">
        <v>26</v>
      </c>
      <c r="B365" s="122"/>
      <c r="C365" s="60">
        <v>419100</v>
      </c>
      <c r="D365" s="122" t="s">
        <v>283</v>
      </c>
      <c r="E365" s="142">
        <v>2500</v>
      </c>
      <c r="F365" s="142">
        <f>G365-E365</f>
        <v>0</v>
      </c>
      <c r="G365" s="142">
        <v>2500</v>
      </c>
      <c r="H365" s="138">
        <f t="shared" si="44"/>
        <v>100</v>
      </c>
      <c r="I365" s="380">
        <f t="shared" si="45"/>
        <v>0.007961783439490446</v>
      </c>
      <c r="J365" s="6"/>
    </row>
    <row r="366" spans="1:10" ht="14.25" customHeight="1">
      <c r="A366" s="119"/>
      <c r="B366" s="47">
        <v>511000</v>
      </c>
      <c r="C366" s="60"/>
      <c r="D366" s="133" t="s">
        <v>132</v>
      </c>
      <c r="E366" s="173">
        <f>SUM(E367:E367)</f>
        <v>1500</v>
      </c>
      <c r="F366" s="173">
        <f>SUM(F367:F367)</f>
        <v>0</v>
      </c>
      <c r="G366" s="173">
        <f>SUM(G367:G367)</f>
        <v>1500</v>
      </c>
      <c r="H366" s="135">
        <f t="shared" si="44"/>
        <v>100</v>
      </c>
      <c r="I366" s="171">
        <f t="shared" si="45"/>
        <v>0.004777070063694267</v>
      </c>
      <c r="J366" s="6"/>
    </row>
    <row r="367" spans="1:10" ht="12.75" customHeight="1">
      <c r="A367" s="119">
        <v>1090</v>
      </c>
      <c r="B367" s="122"/>
      <c r="C367" s="60">
        <v>511300</v>
      </c>
      <c r="D367" s="122" t="s">
        <v>2</v>
      </c>
      <c r="E367" s="142">
        <v>1500</v>
      </c>
      <c r="F367" s="142">
        <f>G367-E367</f>
        <v>0</v>
      </c>
      <c r="G367" s="142">
        <v>1500</v>
      </c>
      <c r="H367" s="138">
        <f t="shared" si="44"/>
        <v>100</v>
      </c>
      <c r="I367" s="380">
        <f t="shared" si="45"/>
        <v>0.004777070063694267</v>
      </c>
      <c r="J367" s="6"/>
    </row>
    <row r="368" spans="1:10" ht="12.75" customHeight="1">
      <c r="A368" s="126"/>
      <c r="B368" s="47">
        <v>516000</v>
      </c>
      <c r="C368" s="122"/>
      <c r="D368" s="133" t="s">
        <v>270</v>
      </c>
      <c r="E368" s="139">
        <f>SUM(E369)</f>
        <v>1000</v>
      </c>
      <c r="F368" s="139">
        <f>SUM(F369)</f>
        <v>0</v>
      </c>
      <c r="G368" s="139">
        <f>SUM(G369)</f>
        <v>1000</v>
      </c>
      <c r="H368" s="135">
        <f t="shared" si="44"/>
        <v>100</v>
      </c>
      <c r="I368" s="171">
        <f t="shared" si="45"/>
        <v>0.003184713375796178</v>
      </c>
      <c r="J368" s="6"/>
    </row>
    <row r="369" spans="1:10" ht="12.75">
      <c r="A369" s="126" t="s">
        <v>26</v>
      </c>
      <c r="B369" s="122"/>
      <c r="C369" s="122">
        <v>516100</v>
      </c>
      <c r="D369" s="82" t="s">
        <v>263</v>
      </c>
      <c r="E369" s="142">
        <v>1000</v>
      </c>
      <c r="F369" s="142">
        <f>G369-E369</f>
        <v>0</v>
      </c>
      <c r="G369" s="142">
        <v>1000</v>
      </c>
      <c r="H369" s="138">
        <f t="shared" si="44"/>
        <v>100</v>
      </c>
      <c r="I369" s="380">
        <f t="shared" si="45"/>
        <v>0.003184713375796178</v>
      </c>
      <c r="J369" s="6"/>
    </row>
    <row r="370" spans="1:10" ht="15.75" customHeight="1">
      <c r="A370" s="126"/>
      <c r="B370" s="47">
        <v>638000</v>
      </c>
      <c r="C370" s="60"/>
      <c r="D370" s="133" t="s">
        <v>297</v>
      </c>
      <c r="E370" s="139">
        <f>SUM(E371)</f>
        <v>10300</v>
      </c>
      <c r="F370" s="139">
        <f>SUM(F371)</f>
        <v>8000</v>
      </c>
      <c r="G370" s="139">
        <f>SUM(G371)</f>
        <v>18300</v>
      </c>
      <c r="H370" s="135">
        <f t="shared" si="44"/>
        <v>177.66990291262138</v>
      </c>
      <c r="I370" s="171">
        <f t="shared" si="45"/>
        <v>0.058280254777070065</v>
      </c>
      <c r="J370" s="6"/>
    </row>
    <row r="371" spans="1:10" ht="25.5" customHeight="1">
      <c r="A371" s="119"/>
      <c r="B371" s="122"/>
      <c r="C371" s="60">
        <v>638100</v>
      </c>
      <c r="D371" s="82" t="s">
        <v>298</v>
      </c>
      <c r="E371" s="144">
        <v>10300</v>
      </c>
      <c r="F371" s="144">
        <f>G371-E371</f>
        <v>8000</v>
      </c>
      <c r="G371" s="144">
        <v>18300</v>
      </c>
      <c r="H371" s="138">
        <f t="shared" si="44"/>
        <v>177.66990291262138</v>
      </c>
      <c r="I371" s="380">
        <f t="shared" si="45"/>
        <v>0.058280254777070065</v>
      </c>
      <c r="J371" s="6"/>
    </row>
    <row r="372" spans="1:10" ht="24" customHeight="1">
      <c r="A372" s="505"/>
      <c r="B372" s="506"/>
      <c r="C372" s="491" t="s">
        <v>83</v>
      </c>
      <c r="D372" s="496"/>
      <c r="E372" s="157">
        <f>E330+E335+E348+E364+E366+E368+E370</f>
        <v>4178000</v>
      </c>
      <c r="F372" s="157">
        <f>F330+F335+F348+F364+F366+F368+F370</f>
        <v>690815</v>
      </c>
      <c r="G372" s="157">
        <f>G330+G335+G348+G364+G366+G368+G370</f>
        <v>4868815</v>
      </c>
      <c r="H372" s="354">
        <f t="shared" si="44"/>
        <v>116.53458592628053</v>
      </c>
      <c r="I372" s="335">
        <f t="shared" si="45"/>
        <v>15.505780254777072</v>
      </c>
      <c r="J372" s="6"/>
    </row>
    <row r="373" spans="1:10" ht="12.75">
      <c r="A373" s="159"/>
      <c r="B373" s="160"/>
      <c r="C373" s="494" t="s">
        <v>479</v>
      </c>
      <c r="D373" s="495"/>
      <c r="E373" s="161"/>
      <c r="F373" s="161"/>
      <c r="G373" s="161"/>
      <c r="H373" s="161"/>
      <c r="I373" s="224"/>
      <c r="J373" s="6"/>
    </row>
    <row r="374" spans="1:10" ht="12.75">
      <c r="A374" s="163"/>
      <c r="B374" s="164"/>
      <c r="C374" s="495"/>
      <c r="D374" s="495"/>
      <c r="E374" s="165"/>
      <c r="F374" s="165"/>
      <c r="G374" s="165"/>
      <c r="H374" s="165"/>
      <c r="I374" s="225"/>
      <c r="J374" s="6"/>
    </row>
    <row r="375" spans="1:10" ht="15" customHeight="1">
      <c r="A375" s="167"/>
      <c r="B375" s="168"/>
      <c r="C375" s="495"/>
      <c r="D375" s="495"/>
      <c r="E375" s="169"/>
      <c r="F375" s="169"/>
      <c r="G375" s="169"/>
      <c r="H375" s="169"/>
      <c r="I375" s="226"/>
      <c r="J375" s="6"/>
    </row>
    <row r="376" spans="1:10" ht="12.75">
      <c r="A376" s="119"/>
      <c r="B376" s="47">
        <v>411000</v>
      </c>
      <c r="C376" s="122"/>
      <c r="D376" s="65" t="s">
        <v>299</v>
      </c>
      <c r="E376" s="134">
        <f>SUM(E377:E380)</f>
        <v>807200</v>
      </c>
      <c r="F376" s="134">
        <f>SUM(F377:F380)</f>
        <v>-21000</v>
      </c>
      <c r="G376" s="134">
        <f>SUM(G377:G380)</f>
        <v>786200</v>
      </c>
      <c r="H376" s="135">
        <f aca="true" t="shared" si="48" ref="H376:H400">G376/E376*100</f>
        <v>97.39841427155599</v>
      </c>
      <c r="I376" s="171">
        <f aca="true" t="shared" si="49" ref="I376:I400">G376/$G$562*100</f>
        <v>2.503821656050955</v>
      </c>
      <c r="J376" s="6"/>
    </row>
    <row r="377" spans="1:10" ht="12.75">
      <c r="A377" s="119" t="s">
        <v>50</v>
      </c>
      <c r="B377" s="122"/>
      <c r="C377" s="60">
        <v>411100</v>
      </c>
      <c r="D377" s="66" t="s">
        <v>295</v>
      </c>
      <c r="E377" s="186">
        <v>580000</v>
      </c>
      <c r="F377" s="186">
        <f>G377-E377</f>
        <v>0</v>
      </c>
      <c r="G377" s="186">
        <v>580000</v>
      </c>
      <c r="H377" s="138">
        <f t="shared" si="48"/>
        <v>100</v>
      </c>
      <c r="I377" s="380">
        <f t="shared" si="49"/>
        <v>1.8471337579617835</v>
      </c>
      <c r="J377" s="6"/>
    </row>
    <row r="378" spans="1:10" ht="25.5" customHeight="1">
      <c r="A378" s="119" t="s">
        <v>50</v>
      </c>
      <c r="B378" s="122"/>
      <c r="C378" s="60">
        <v>411200</v>
      </c>
      <c r="D378" s="66" t="s">
        <v>300</v>
      </c>
      <c r="E378" s="144">
        <v>204000</v>
      </c>
      <c r="F378" s="186">
        <f>G378-E378</f>
        <v>-22000</v>
      </c>
      <c r="G378" s="144">
        <v>182000</v>
      </c>
      <c r="H378" s="138">
        <f t="shared" si="48"/>
        <v>89.2156862745098</v>
      </c>
      <c r="I378" s="380">
        <f t="shared" si="49"/>
        <v>0.5796178343949044</v>
      </c>
      <c r="J378" s="6"/>
    </row>
    <row r="379" spans="1:10" ht="25.5">
      <c r="A379" s="119" t="s">
        <v>50</v>
      </c>
      <c r="B379" s="122"/>
      <c r="C379" s="60">
        <v>411300</v>
      </c>
      <c r="D379" s="66" t="s">
        <v>375</v>
      </c>
      <c r="E379" s="142">
        <v>17000</v>
      </c>
      <c r="F379" s="186">
        <f>G379-E379</f>
        <v>0</v>
      </c>
      <c r="G379" s="142">
        <v>17000</v>
      </c>
      <c r="H379" s="138">
        <f t="shared" si="48"/>
        <v>100</v>
      </c>
      <c r="I379" s="380">
        <f t="shared" si="49"/>
        <v>0.054140127388535034</v>
      </c>
      <c r="J379" s="6"/>
    </row>
    <row r="380" spans="1:10" ht="12.75">
      <c r="A380" s="119" t="s">
        <v>50</v>
      </c>
      <c r="B380" s="122"/>
      <c r="C380" s="60">
        <v>411400</v>
      </c>
      <c r="D380" s="67" t="s">
        <v>296</v>
      </c>
      <c r="E380" s="142">
        <v>6200</v>
      </c>
      <c r="F380" s="186">
        <f>G380-E380</f>
        <v>1000</v>
      </c>
      <c r="G380" s="142">
        <v>7200</v>
      </c>
      <c r="H380" s="138">
        <f t="shared" si="48"/>
        <v>116.12903225806453</v>
      </c>
      <c r="I380" s="380">
        <f t="shared" si="49"/>
        <v>0.022929936305732486</v>
      </c>
      <c r="J380" s="6"/>
    </row>
    <row r="381" spans="1:10" ht="12.75">
      <c r="A381" s="119"/>
      <c r="B381" s="47">
        <v>412000</v>
      </c>
      <c r="C381" s="60"/>
      <c r="D381" s="133" t="s">
        <v>114</v>
      </c>
      <c r="E381" s="173">
        <f>SUM(E382:E391)</f>
        <v>160000</v>
      </c>
      <c r="F381" s="173">
        <f>SUM(F382:F391)</f>
        <v>9326.5</v>
      </c>
      <c r="G381" s="173">
        <f>SUM(G382:G391)</f>
        <v>169326.5</v>
      </c>
      <c r="H381" s="135">
        <f t="shared" si="48"/>
        <v>105.82906249999999</v>
      </c>
      <c r="I381" s="171">
        <f t="shared" si="49"/>
        <v>0.5392563694267516</v>
      </c>
      <c r="J381" s="6"/>
    </row>
    <row r="382" spans="1:10" ht="25.5">
      <c r="A382" s="119" t="s">
        <v>50</v>
      </c>
      <c r="B382" s="47"/>
      <c r="C382" s="60">
        <v>412200</v>
      </c>
      <c r="D382" s="82" t="s">
        <v>116</v>
      </c>
      <c r="E382" s="142">
        <v>52000</v>
      </c>
      <c r="F382" s="142">
        <f>G382-E382</f>
        <v>-1000</v>
      </c>
      <c r="G382" s="142">
        <v>51000</v>
      </c>
      <c r="H382" s="138">
        <f t="shared" si="48"/>
        <v>98.07692307692307</v>
      </c>
      <c r="I382" s="380">
        <f t="shared" si="49"/>
        <v>0.1624203821656051</v>
      </c>
      <c r="J382" s="6"/>
    </row>
    <row r="383" spans="1:10" ht="12.75">
      <c r="A383" s="119" t="s">
        <v>50</v>
      </c>
      <c r="B383" s="47"/>
      <c r="C383" s="60">
        <v>412300</v>
      </c>
      <c r="D383" s="122" t="s">
        <v>117</v>
      </c>
      <c r="E383" s="142">
        <v>15500</v>
      </c>
      <c r="F383" s="142">
        <f aca="true" t="shared" si="50" ref="F383:F391">G383-E383</f>
        <v>0</v>
      </c>
      <c r="G383" s="142">
        <v>15500</v>
      </c>
      <c r="H383" s="138">
        <f t="shared" si="48"/>
        <v>100</v>
      </c>
      <c r="I383" s="380">
        <f t="shared" si="49"/>
        <v>0.04936305732484076</v>
      </c>
      <c r="J383" s="6"/>
    </row>
    <row r="384" spans="1:10" ht="12.75">
      <c r="A384" s="119" t="s">
        <v>50</v>
      </c>
      <c r="B384" s="47"/>
      <c r="C384" s="60">
        <v>412400</v>
      </c>
      <c r="D384" s="82" t="s">
        <v>118</v>
      </c>
      <c r="E384" s="144">
        <v>62000</v>
      </c>
      <c r="F384" s="142">
        <f t="shared" si="50"/>
        <v>10000</v>
      </c>
      <c r="G384" s="144">
        <v>72000</v>
      </c>
      <c r="H384" s="138">
        <f t="shared" si="48"/>
        <v>116.12903225806453</v>
      </c>
      <c r="I384" s="380">
        <f t="shared" si="49"/>
        <v>0.22929936305732482</v>
      </c>
      <c r="J384" s="6"/>
    </row>
    <row r="385" spans="1:10" ht="25.5">
      <c r="A385" s="119" t="s">
        <v>50</v>
      </c>
      <c r="B385" s="47"/>
      <c r="C385" s="60">
        <v>412400</v>
      </c>
      <c r="D385" s="82" t="s">
        <v>623</v>
      </c>
      <c r="E385" s="144">
        <v>0</v>
      </c>
      <c r="F385" s="142">
        <f t="shared" si="50"/>
        <v>1200</v>
      </c>
      <c r="G385" s="144">
        <v>1200</v>
      </c>
      <c r="H385" s="138" t="e">
        <f t="shared" si="48"/>
        <v>#DIV/0!</v>
      </c>
      <c r="I385" s="380">
        <f t="shared" si="49"/>
        <v>0.0038216560509554145</v>
      </c>
      <c r="J385" s="6"/>
    </row>
    <row r="386" spans="1:10" ht="12.75">
      <c r="A386" s="119" t="s">
        <v>50</v>
      </c>
      <c r="B386" s="47"/>
      <c r="C386" s="60">
        <v>412500</v>
      </c>
      <c r="D386" s="122" t="s">
        <v>119</v>
      </c>
      <c r="E386" s="144">
        <v>10000</v>
      </c>
      <c r="F386" s="142">
        <f t="shared" si="50"/>
        <v>-1000</v>
      </c>
      <c r="G386" s="144">
        <v>9000</v>
      </c>
      <c r="H386" s="138">
        <f t="shared" si="48"/>
        <v>90</v>
      </c>
      <c r="I386" s="380">
        <f t="shared" si="49"/>
        <v>0.028662420382165602</v>
      </c>
      <c r="J386" s="6"/>
    </row>
    <row r="387" spans="1:10" ht="12.75">
      <c r="A387" s="119" t="s">
        <v>50</v>
      </c>
      <c r="B387" s="47"/>
      <c r="C387" s="60">
        <v>412600</v>
      </c>
      <c r="D387" s="122" t="s">
        <v>120</v>
      </c>
      <c r="E387" s="144">
        <v>1000</v>
      </c>
      <c r="F387" s="142">
        <f t="shared" si="50"/>
        <v>0</v>
      </c>
      <c r="G387" s="144">
        <v>1000</v>
      </c>
      <c r="H387" s="138">
        <f t="shared" si="48"/>
        <v>100</v>
      </c>
      <c r="I387" s="380">
        <f t="shared" si="49"/>
        <v>0.003184713375796178</v>
      </c>
      <c r="J387" s="6"/>
    </row>
    <row r="388" spans="1:10" ht="12.75">
      <c r="A388" s="119" t="s">
        <v>50</v>
      </c>
      <c r="B388" s="47"/>
      <c r="C388" s="122">
        <v>412700</v>
      </c>
      <c r="D388" s="122" t="s">
        <v>121</v>
      </c>
      <c r="E388" s="144">
        <v>2500</v>
      </c>
      <c r="F388" s="142">
        <f t="shared" si="50"/>
        <v>-200</v>
      </c>
      <c r="G388" s="144">
        <v>2300</v>
      </c>
      <c r="H388" s="138">
        <f t="shared" si="48"/>
        <v>92</v>
      </c>
      <c r="I388" s="380">
        <f t="shared" si="49"/>
        <v>0.00732484076433121</v>
      </c>
      <c r="J388" s="6"/>
    </row>
    <row r="389" spans="1:10" ht="12.75">
      <c r="A389" s="119" t="s">
        <v>50</v>
      </c>
      <c r="B389" s="47"/>
      <c r="C389" s="122">
        <v>412900</v>
      </c>
      <c r="D389" s="122" t="s">
        <v>123</v>
      </c>
      <c r="E389" s="144">
        <v>12000</v>
      </c>
      <c r="F389" s="142">
        <f t="shared" si="50"/>
        <v>0</v>
      </c>
      <c r="G389" s="144">
        <v>12000</v>
      </c>
      <c r="H389" s="138">
        <f t="shared" si="48"/>
        <v>100</v>
      </c>
      <c r="I389" s="380">
        <f t="shared" si="49"/>
        <v>0.03821656050955414</v>
      </c>
      <c r="J389" s="6"/>
    </row>
    <row r="390" spans="1:10" ht="24.75" customHeight="1">
      <c r="A390" s="119" t="s">
        <v>50</v>
      </c>
      <c r="B390" s="47"/>
      <c r="C390" s="122">
        <v>412900</v>
      </c>
      <c r="D390" s="82" t="s">
        <v>607</v>
      </c>
      <c r="E390" s="144">
        <v>5000</v>
      </c>
      <c r="F390" s="142">
        <f t="shared" si="50"/>
        <v>326.5</v>
      </c>
      <c r="G390" s="144">
        <v>5326.5</v>
      </c>
      <c r="H390" s="138">
        <f t="shared" si="48"/>
        <v>106.52999999999999</v>
      </c>
      <c r="I390" s="380">
        <f t="shared" si="49"/>
        <v>0.016963375796178345</v>
      </c>
      <c r="J390" s="6"/>
    </row>
    <row r="391" spans="1:10" ht="12.75" hidden="1">
      <c r="A391" s="119" t="s">
        <v>50</v>
      </c>
      <c r="B391" s="47"/>
      <c r="C391" s="122">
        <v>412900</v>
      </c>
      <c r="D391" s="82" t="s">
        <v>585</v>
      </c>
      <c r="E391" s="144">
        <v>0</v>
      </c>
      <c r="F391" s="142">
        <f t="shared" si="50"/>
        <v>0</v>
      </c>
      <c r="G391" s="144">
        <v>0</v>
      </c>
      <c r="H391" s="138" t="e">
        <f t="shared" si="48"/>
        <v>#DIV/0!</v>
      </c>
      <c r="I391" s="380">
        <f t="shared" si="49"/>
        <v>0</v>
      </c>
      <c r="J391" s="6"/>
    </row>
    <row r="392" spans="1:10" ht="12.75">
      <c r="A392" s="119"/>
      <c r="B392" s="47">
        <v>418000</v>
      </c>
      <c r="C392" s="122"/>
      <c r="D392" s="393" t="s">
        <v>523</v>
      </c>
      <c r="E392" s="373">
        <f>SUM(E393)</f>
        <v>2000</v>
      </c>
      <c r="F392" s="373">
        <f>SUM(F393)</f>
        <v>0</v>
      </c>
      <c r="G392" s="373">
        <f>SUM(G393)</f>
        <v>2000</v>
      </c>
      <c r="H392" s="227">
        <f t="shared" si="48"/>
        <v>100</v>
      </c>
      <c r="I392" s="394">
        <f t="shared" si="49"/>
        <v>0.006369426751592356</v>
      </c>
      <c r="J392" s="6"/>
    </row>
    <row r="393" spans="1:10" ht="25.5">
      <c r="A393" s="119" t="s">
        <v>50</v>
      </c>
      <c r="B393" s="395"/>
      <c r="C393" s="122">
        <v>418400</v>
      </c>
      <c r="D393" s="82" t="s">
        <v>524</v>
      </c>
      <c r="E393" s="144">
        <v>2000</v>
      </c>
      <c r="F393" s="144">
        <f>G393-E393</f>
        <v>0</v>
      </c>
      <c r="G393" s="144">
        <v>2000</v>
      </c>
      <c r="H393" s="138">
        <f t="shared" si="48"/>
        <v>100</v>
      </c>
      <c r="I393" s="380">
        <f t="shared" si="49"/>
        <v>0.006369426751592356</v>
      </c>
      <c r="J393" s="6"/>
    </row>
    <row r="394" spans="1:10" ht="12.75">
      <c r="A394" s="119"/>
      <c r="B394" s="47">
        <v>511000</v>
      </c>
      <c r="C394" s="60"/>
      <c r="D394" s="133" t="s">
        <v>132</v>
      </c>
      <c r="E394" s="173">
        <f>SUM(E395:E395)</f>
        <v>4000</v>
      </c>
      <c r="F394" s="173">
        <f>SUM(F395:F395)</f>
        <v>0</v>
      </c>
      <c r="G394" s="173">
        <f>SUM(G395:G395)</f>
        <v>4000</v>
      </c>
      <c r="H394" s="135">
        <f t="shared" si="48"/>
        <v>100</v>
      </c>
      <c r="I394" s="171">
        <f t="shared" si="49"/>
        <v>0.012738853503184712</v>
      </c>
      <c r="J394" s="6"/>
    </row>
    <row r="395" spans="1:10" ht="12.75">
      <c r="A395" s="119" t="s">
        <v>50</v>
      </c>
      <c r="B395" s="47"/>
      <c r="C395" s="60">
        <v>511300</v>
      </c>
      <c r="D395" s="122" t="s">
        <v>2</v>
      </c>
      <c r="E395" s="144">
        <v>4000</v>
      </c>
      <c r="F395" s="144">
        <f>G395-E395</f>
        <v>0</v>
      </c>
      <c r="G395" s="144">
        <v>4000</v>
      </c>
      <c r="H395" s="138">
        <f t="shared" si="48"/>
        <v>100</v>
      </c>
      <c r="I395" s="380">
        <f t="shared" si="49"/>
        <v>0.012738853503184712</v>
      </c>
      <c r="J395" s="6"/>
    </row>
    <row r="396" spans="1:10" ht="21.75" customHeight="1">
      <c r="A396" s="119"/>
      <c r="B396" s="47">
        <v>516000</v>
      </c>
      <c r="C396" s="60"/>
      <c r="D396" s="133" t="s">
        <v>270</v>
      </c>
      <c r="E396" s="173">
        <f>SUM(E397:E397)</f>
        <v>5000</v>
      </c>
      <c r="F396" s="173">
        <f>SUM(F397:F397)</f>
        <v>0</v>
      </c>
      <c r="G396" s="173">
        <f>SUM(G397:G397)</f>
        <v>5000</v>
      </c>
      <c r="H396" s="135">
        <f t="shared" si="48"/>
        <v>100</v>
      </c>
      <c r="I396" s="171">
        <f t="shared" si="49"/>
        <v>0.01592356687898089</v>
      </c>
      <c r="J396" s="6"/>
    </row>
    <row r="397" spans="1:10" ht="12.75">
      <c r="A397" s="119" t="s">
        <v>50</v>
      </c>
      <c r="B397" s="122"/>
      <c r="C397" s="60">
        <v>516100</v>
      </c>
      <c r="D397" s="122" t="s">
        <v>264</v>
      </c>
      <c r="E397" s="144">
        <v>5000</v>
      </c>
      <c r="F397" s="144">
        <f>G397-E397</f>
        <v>0</v>
      </c>
      <c r="G397" s="144">
        <v>5000</v>
      </c>
      <c r="H397" s="138">
        <f t="shared" si="48"/>
        <v>100</v>
      </c>
      <c r="I397" s="380">
        <f t="shared" si="49"/>
        <v>0.01592356687898089</v>
      </c>
      <c r="J397" s="6"/>
    </row>
    <row r="398" spans="1:10" ht="12.75">
      <c r="A398" s="119"/>
      <c r="B398" s="47">
        <v>638000</v>
      </c>
      <c r="C398" s="60"/>
      <c r="D398" s="133" t="s">
        <v>297</v>
      </c>
      <c r="E398" s="139">
        <f>SUM(E399)</f>
        <v>50000</v>
      </c>
      <c r="F398" s="139">
        <f>SUM(F399)</f>
        <v>11000</v>
      </c>
      <c r="G398" s="139">
        <f>SUM(G399)</f>
        <v>61000</v>
      </c>
      <c r="H398" s="135">
        <f t="shared" si="48"/>
        <v>122</v>
      </c>
      <c r="I398" s="171">
        <f t="shared" si="49"/>
        <v>0.19426751592356686</v>
      </c>
      <c r="J398" s="6"/>
    </row>
    <row r="399" spans="1:10" ht="28.5" customHeight="1">
      <c r="A399" s="119"/>
      <c r="B399" s="122"/>
      <c r="C399" s="60">
        <v>638100</v>
      </c>
      <c r="D399" s="350" t="s">
        <v>298</v>
      </c>
      <c r="E399" s="237">
        <v>50000</v>
      </c>
      <c r="F399" s="237">
        <f>G399-E399</f>
        <v>11000</v>
      </c>
      <c r="G399" s="237">
        <v>61000</v>
      </c>
      <c r="H399" s="138">
        <f t="shared" si="48"/>
        <v>122</v>
      </c>
      <c r="I399" s="380">
        <f t="shared" si="49"/>
        <v>0.19426751592356686</v>
      </c>
      <c r="J399" s="6"/>
    </row>
    <row r="400" spans="1:10" ht="24" customHeight="1">
      <c r="A400" s="505"/>
      <c r="B400" s="506"/>
      <c r="C400" s="491" t="s">
        <v>87</v>
      </c>
      <c r="D400" s="496"/>
      <c r="E400" s="157">
        <f>E376+E381+E392+E394+E396+E398</f>
        <v>1028200</v>
      </c>
      <c r="F400" s="157">
        <f>F376+F381+F392+F394+F396+F398</f>
        <v>-673.5</v>
      </c>
      <c r="G400" s="157">
        <f>G376+G381+G392+G394+G396+G398</f>
        <v>1027526.5</v>
      </c>
      <c r="H400" s="354">
        <f t="shared" si="48"/>
        <v>99.93449717953705</v>
      </c>
      <c r="I400" s="335">
        <f t="shared" si="49"/>
        <v>3.272377388535032</v>
      </c>
      <c r="J400" s="6"/>
    </row>
    <row r="401" spans="1:10" ht="41.25" customHeight="1">
      <c r="A401" s="238"/>
      <c r="B401" s="218"/>
      <c r="C401" s="492" t="s">
        <v>507</v>
      </c>
      <c r="D401" s="493"/>
      <c r="E401" s="324"/>
      <c r="F401" s="324"/>
      <c r="G401" s="324"/>
      <c r="H401" s="325"/>
      <c r="I401" s="328"/>
      <c r="J401" s="345"/>
    </row>
    <row r="402" spans="1:10" ht="12.75">
      <c r="A402" s="238"/>
      <c r="B402" s="329" t="s">
        <v>327</v>
      </c>
      <c r="C402" s="406"/>
      <c r="D402" s="344" t="s">
        <v>299</v>
      </c>
      <c r="E402" s="331">
        <f>SUM(E403:E406)</f>
        <v>4651500</v>
      </c>
      <c r="F402" s="331">
        <f>SUM(F403:F406)</f>
        <v>47500</v>
      </c>
      <c r="G402" s="331">
        <f>SUM(G403:G406)</f>
        <v>4699000</v>
      </c>
      <c r="H402" s="331">
        <f aca="true" t="shared" si="51" ref="H402:H415">G402/E402*100</f>
        <v>101.02117596474255</v>
      </c>
      <c r="I402" s="332">
        <f aca="true" t="shared" si="52" ref="I402:I429">G402/$G$562*100</f>
        <v>14.964968152866243</v>
      </c>
      <c r="J402" s="345"/>
    </row>
    <row r="403" spans="1:10" ht="12.75">
      <c r="A403" s="238" t="s">
        <v>517</v>
      </c>
      <c r="B403" s="218"/>
      <c r="C403" s="458">
        <v>411100</v>
      </c>
      <c r="D403" s="346" t="s">
        <v>295</v>
      </c>
      <c r="E403" s="336">
        <v>4488000</v>
      </c>
      <c r="F403" s="336">
        <f>G403-E403</f>
        <v>15000</v>
      </c>
      <c r="G403" s="336">
        <v>4503000</v>
      </c>
      <c r="H403" s="326">
        <f t="shared" si="51"/>
        <v>100.33422459893049</v>
      </c>
      <c r="I403" s="327">
        <f t="shared" si="52"/>
        <v>14.34076433121019</v>
      </c>
      <c r="J403" s="345"/>
    </row>
    <row r="404" spans="1:10" ht="25.5">
      <c r="A404" s="238" t="s">
        <v>517</v>
      </c>
      <c r="B404" s="218"/>
      <c r="C404" s="458">
        <v>411200</v>
      </c>
      <c r="D404" s="347" t="s">
        <v>542</v>
      </c>
      <c r="E404" s="336">
        <v>107000</v>
      </c>
      <c r="F404" s="336">
        <f>G404-E404</f>
        <v>14000</v>
      </c>
      <c r="G404" s="336">
        <v>121000</v>
      </c>
      <c r="H404" s="326">
        <f t="shared" si="51"/>
        <v>113.08411214953271</v>
      </c>
      <c r="I404" s="327">
        <f t="shared" si="52"/>
        <v>0.3853503184713376</v>
      </c>
      <c r="J404" s="345"/>
    </row>
    <row r="405" spans="1:10" ht="25.5">
      <c r="A405" s="238" t="s">
        <v>517</v>
      </c>
      <c r="B405" s="218"/>
      <c r="C405" s="458">
        <v>411300</v>
      </c>
      <c r="D405" s="347" t="s">
        <v>454</v>
      </c>
      <c r="E405" s="336">
        <v>12000</v>
      </c>
      <c r="F405" s="336">
        <f>G405-E405</f>
        <v>-3500</v>
      </c>
      <c r="G405" s="336">
        <v>8500</v>
      </c>
      <c r="H405" s="326">
        <f t="shared" si="51"/>
        <v>70.83333333333334</v>
      </c>
      <c r="I405" s="327">
        <f t="shared" si="52"/>
        <v>0.027070063694267517</v>
      </c>
      <c r="J405" s="345"/>
    </row>
    <row r="406" spans="1:10" ht="12.75">
      <c r="A406" s="238" t="s">
        <v>517</v>
      </c>
      <c r="B406" s="218"/>
      <c r="C406" s="458">
        <v>411400</v>
      </c>
      <c r="D406" s="346" t="s">
        <v>296</v>
      </c>
      <c r="E406" s="336">
        <v>44500</v>
      </c>
      <c r="F406" s="336">
        <f>G406-E406</f>
        <v>22000</v>
      </c>
      <c r="G406" s="336">
        <v>66500</v>
      </c>
      <c r="H406" s="326">
        <f t="shared" si="51"/>
        <v>149.43820224719101</v>
      </c>
      <c r="I406" s="327">
        <f t="shared" si="52"/>
        <v>0.21178343949044584</v>
      </c>
      <c r="J406" s="345"/>
    </row>
    <row r="407" spans="1:10" ht="12.75">
      <c r="A407" s="238"/>
      <c r="B407" s="329" t="s">
        <v>328</v>
      </c>
      <c r="C407" s="459"/>
      <c r="D407" s="348" t="s">
        <v>114</v>
      </c>
      <c r="E407" s="382">
        <f>SUM(E408:E415)</f>
        <v>908100</v>
      </c>
      <c r="F407" s="382">
        <f>SUM(F408:F415)</f>
        <v>127000</v>
      </c>
      <c r="G407" s="382">
        <f>SUM(G408:G415)</f>
        <v>1035100</v>
      </c>
      <c r="H407" s="331">
        <f t="shared" si="51"/>
        <v>113.98524391586831</v>
      </c>
      <c r="I407" s="332">
        <f t="shared" si="52"/>
        <v>3.2964968152866243</v>
      </c>
      <c r="J407" s="345"/>
    </row>
    <row r="408" spans="1:10" ht="12.75">
      <c r="A408" s="238" t="s">
        <v>517</v>
      </c>
      <c r="B408" s="218"/>
      <c r="C408" s="458">
        <v>412100</v>
      </c>
      <c r="D408" s="346" t="s">
        <v>439</v>
      </c>
      <c r="E408" s="336">
        <v>2010</v>
      </c>
      <c r="F408" s="336">
        <f>G408-E408</f>
        <v>2930</v>
      </c>
      <c r="G408" s="336">
        <v>4940</v>
      </c>
      <c r="H408" s="326">
        <f t="shared" si="51"/>
        <v>245.77114427860698</v>
      </c>
      <c r="I408" s="327">
        <f t="shared" si="52"/>
        <v>0.01573248407643312</v>
      </c>
      <c r="J408" s="444"/>
    </row>
    <row r="409" spans="1:10" ht="25.5">
      <c r="A409" s="238" t="s">
        <v>517</v>
      </c>
      <c r="B409" s="218"/>
      <c r="C409" s="458">
        <v>412200</v>
      </c>
      <c r="D409" s="347" t="s">
        <v>543</v>
      </c>
      <c r="E409" s="336">
        <v>531490</v>
      </c>
      <c r="F409" s="336">
        <f aca="true" t="shared" si="53" ref="F409:F415">G409-E409</f>
        <v>3510</v>
      </c>
      <c r="G409" s="336">
        <v>535000</v>
      </c>
      <c r="H409" s="326">
        <f t="shared" si="51"/>
        <v>100.66040753353779</v>
      </c>
      <c r="I409" s="327">
        <f t="shared" si="52"/>
        <v>1.7038216560509554</v>
      </c>
      <c r="J409" s="345"/>
    </row>
    <row r="410" spans="1:10" ht="12.75">
      <c r="A410" s="238" t="s">
        <v>517</v>
      </c>
      <c r="B410" s="218"/>
      <c r="C410" s="458">
        <v>412300</v>
      </c>
      <c r="D410" s="347" t="s">
        <v>117</v>
      </c>
      <c r="E410" s="336">
        <v>1000</v>
      </c>
      <c r="F410" s="336">
        <f t="shared" si="53"/>
        <v>0</v>
      </c>
      <c r="G410" s="336">
        <v>1000</v>
      </c>
      <c r="H410" s="326">
        <f t="shared" si="51"/>
        <v>100</v>
      </c>
      <c r="I410" s="327">
        <f t="shared" si="52"/>
        <v>0.003184713375796178</v>
      </c>
      <c r="J410" s="345"/>
    </row>
    <row r="411" spans="1:10" ht="12.75">
      <c r="A411" s="238" t="s">
        <v>517</v>
      </c>
      <c r="B411" s="218"/>
      <c r="C411" s="458">
        <v>412500</v>
      </c>
      <c r="D411" s="346" t="s">
        <v>544</v>
      </c>
      <c r="E411" s="336">
        <v>50000</v>
      </c>
      <c r="F411" s="336">
        <f t="shared" si="53"/>
        <v>14000</v>
      </c>
      <c r="G411" s="336">
        <v>64000</v>
      </c>
      <c r="H411" s="326">
        <f t="shared" si="51"/>
        <v>128</v>
      </c>
      <c r="I411" s="327">
        <f t="shared" si="52"/>
        <v>0.2038216560509554</v>
      </c>
      <c r="J411" s="345"/>
    </row>
    <row r="412" spans="1:10" ht="12.75">
      <c r="A412" s="238" t="s">
        <v>517</v>
      </c>
      <c r="B412" s="218"/>
      <c r="C412" s="458">
        <v>412600</v>
      </c>
      <c r="D412" s="346" t="s">
        <v>120</v>
      </c>
      <c r="E412" s="336">
        <v>3000</v>
      </c>
      <c r="F412" s="336">
        <f t="shared" si="53"/>
        <v>0</v>
      </c>
      <c r="G412" s="336">
        <v>3000</v>
      </c>
      <c r="H412" s="326">
        <f t="shared" si="51"/>
        <v>100</v>
      </c>
      <c r="I412" s="327">
        <f t="shared" si="52"/>
        <v>0.009554140127388535</v>
      </c>
      <c r="J412" s="345"/>
    </row>
    <row r="413" spans="1:10" ht="12.75">
      <c r="A413" s="238" t="s">
        <v>517</v>
      </c>
      <c r="B413" s="218"/>
      <c r="C413" s="458">
        <v>412700</v>
      </c>
      <c r="D413" s="346" t="s">
        <v>121</v>
      </c>
      <c r="E413" s="336">
        <v>102600</v>
      </c>
      <c r="F413" s="336">
        <f t="shared" si="53"/>
        <v>28560</v>
      </c>
      <c r="G413" s="336">
        <v>131160</v>
      </c>
      <c r="H413" s="326">
        <f t="shared" si="51"/>
        <v>127.83625730994153</v>
      </c>
      <c r="I413" s="327">
        <f t="shared" si="52"/>
        <v>0.41770700636942676</v>
      </c>
      <c r="J413" s="345"/>
    </row>
    <row r="414" spans="1:10" ht="12.75">
      <c r="A414" s="238" t="s">
        <v>517</v>
      </c>
      <c r="B414" s="218"/>
      <c r="C414" s="458">
        <v>412900</v>
      </c>
      <c r="D414" s="346" t="s">
        <v>440</v>
      </c>
      <c r="E414" s="336">
        <v>190000</v>
      </c>
      <c r="F414" s="336">
        <f t="shared" si="53"/>
        <v>75000</v>
      </c>
      <c r="G414" s="336">
        <v>265000</v>
      </c>
      <c r="H414" s="326">
        <f t="shared" si="51"/>
        <v>139.4736842105263</v>
      </c>
      <c r="I414" s="327">
        <f t="shared" si="52"/>
        <v>0.8439490445859873</v>
      </c>
      <c r="J414" s="345"/>
    </row>
    <row r="415" spans="1:10" ht="37.5" customHeight="1">
      <c r="A415" s="238" t="s">
        <v>517</v>
      </c>
      <c r="B415" s="218"/>
      <c r="C415" s="458">
        <v>412900</v>
      </c>
      <c r="D415" s="347" t="s">
        <v>545</v>
      </c>
      <c r="E415" s="336">
        <v>28000</v>
      </c>
      <c r="F415" s="336">
        <f t="shared" si="53"/>
        <v>3000</v>
      </c>
      <c r="G415" s="336">
        <v>31000</v>
      </c>
      <c r="H415" s="326">
        <f t="shared" si="51"/>
        <v>110.71428571428572</v>
      </c>
      <c r="I415" s="327">
        <f t="shared" si="52"/>
        <v>0.09872611464968152</v>
      </c>
      <c r="J415" s="345"/>
    </row>
    <row r="416" spans="1:10" ht="25.5">
      <c r="A416" s="238"/>
      <c r="B416" s="235" t="s">
        <v>441</v>
      </c>
      <c r="C416" s="307"/>
      <c r="D416" s="258" t="s">
        <v>442</v>
      </c>
      <c r="E416" s="382">
        <f>SUM(E417:E417)</f>
        <v>6000</v>
      </c>
      <c r="F416" s="382">
        <f>SUM(F417:F417)</f>
        <v>0</v>
      </c>
      <c r="G416" s="382">
        <f>SUM(G417:G417)</f>
        <v>6000</v>
      </c>
      <c r="H416" s="331">
        <f aca="true" t="shared" si="54" ref="H416:H429">G416/E416*100</f>
        <v>100</v>
      </c>
      <c r="I416" s="332">
        <f t="shared" si="52"/>
        <v>0.01910828025477707</v>
      </c>
      <c r="J416" s="345"/>
    </row>
    <row r="417" spans="1:10" ht="23.25" customHeight="1">
      <c r="A417" s="238" t="s">
        <v>517</v>
      </c>
      <c r="B417" s="218"/>
      <c r="C417" s="307">
        <v>418200</v>
      </c>
      <c r="D417" s="347" t="s">
        <v>546</v>
      </c>
      <c r="E417" s="336">
        <v>6000</v>
      </c>
      <c r="F417" s="336">
        <f>G417-E417</f>
        <v>0</v>
      </c>
      <c r="G417" s="336">
        <v>6000</v>
      </c>
      <c r="H417" s="326">
        <f t="shared" si="54"/>
        <v>100</v>
      </c>
      <c r="I417" s="327">
        <f t="shared" si="52"/>
        <v>0.01910828025477707</v>
      </c>
      <c r="J417" s="345"/>
    </row>
    <row r="418" spans="1:10" ht="14.25" customHeight="1">
      <c r="A418" s="238"/>
      <c r="B418" s="218" t="s">
        <v>337</v>
      </c>
      <c r="C418" s="307"/>
      <c r="D418" s="258" t="s">
        <v>283</v>
      </c>
      <c r="E418" s="330">
        <f>SUM(E419)</f>
        <v>0</v>
      </c>
      <c r="F418" s="330">
        <f>SUM(F419)</f>
        <v>34000</v>
      </c>
      <c r="G418" s="330">
        <f>SUM(G419)</f>
        <v>34000</v>
      </c>
      <c r="H418" s="331" t="e">
        <f t="shared" si="54"/>
        <v>#DIV/0!</v>
      </c>
      <c r="I418" s="332">
        <f t="shared" si="52"/>
        <v>0.10828025477707007</v>
      </c>
      <c r="J418" s="345"/>
    </row>
    <row r="419" spans="1:10" ht="15" customHeight="1">
      <c r="A419" s="238" t="s">
        <v>517</v>
      </c>
      <c r="B419" s="218"/>
      <c r="C419" s="307">
        <v>419100</v>
      </c>
      <c r="D419" s="347" t="s">
        <v>283</v>
      </c>
      <c r="E419" s="336">
        <v>0</v>
      </c>
      <c r="F419" s="336">
        <f>G419-E419</f>
        <v>34000</v>
      </c>
      <c r="G419" s="336">
        <v>34000</v>
      </c>
      <c r="H419" s="326" t="e">
        <f t="shared" si="54"/>
        <v>#DIV/0!</v>
      </c>
      <c r="I419" s="327">
        <f t="shared" si="52"/>
        <v>0.10828025477707007</v>
      </c>
      <c r="J419" s="345"/>
    </row>
    <row r="420" spans="1:10" ht="12.75" customHeight="1">
      <c r="A420" s="238"/>
      <c r="B420" s="329" t="s">
        <v>445</v>
      </c>
      <c r="C420" s="307"/>
      <c r="D420" s="349" t="s">
        <v>443</v>
      </c>
      <c r="E420" s="382">
        <f>SUM(E421:E422)</f>
        <v>130000</v>
      </c>
      <c r="F420" s="382">
        <f>SUM(F421:F422)</f>
        <v>85000</v>
      </c>
      <c r="G420" s="382">
        <f>SUM(G421:G422)</f>
        <v>215000</v>
      </c>
      <c r="H420" s="331">
        <f t="shared" si="54"/>
        <v>165.3846153846154</v>
      </c>
      <c r="I420" s="332">
        <f t="shared" si="52"/>
        <v>0.6847133757961784</v>
      </c>
      <c r="J420" s="345"/>
    </row>
    <row r="421" spans="1:10" ht="25.5" customHeight="1">
      <c r="A421" s="238" t="s">
        <v>517</v>
      </c>
      <c r="B421" s="218"/>
      <c r="C421" s="307">
        <v>511200</v>
      </c>
      <c r="D421" s="347" t="s">
        <v>134</v>
      </c>
      <c r="E421" s="336">
        <v>15000</v>
      </c>
      <c r="F421" s="336">
        <f>G421-E421</f>
        <v>-15000</v>
      </c>
      <c r="G421" s="336">
        <v>0</v>
      </c>
      <c r="H421" s="326">
        <f t="shared" si="54"/>
        <v>0</v>
      </c>
      <c r="I421" s="327">
        <f t="shared" si="52"/>
        <v>0</v>
      </c>
      <c r="J421" s="345"/>
    </row>
    <row r="422" spans="1:10" ht="15" customHeight="1">
      <c r="A422" s="238" t="s">
        <v>517</v>
      </c>
      <c r="B422" s="218"/>
      <c r="C422" s="307">
        <v>511300</v>
      </c>
      <c r="D422" s="347" t="s">
        <v>135</v>
      </c>
      <c r="E422" s="336">
        <v>115000</v>
      </c>
      <c r="F422" s="336">
        <f>G422-E422</f>
        <v>100000</v>
      </c>
      <c r="G422" s="336">
        <v>215000</v>
      </c>
      <c r="H422" s="326">
        <f t="shared" si="54"/>
        <v>186.95652173913044</v>
      </c>
      <c r="I422" s="327">
        <f t="shared" si="52"/>
        <v>0.6847133757961784</v>
      </c>
      <c r="J422" s="345"/>
    </row>
    <row r="423" spans="1:10" ht="27.75" customHeight="1">
      <c r="A423" s="238"/>
      <c r="B423" s="329" t="s">
        <v>448</v>
      </c>
      <c r="C423" s="459"/>
      <c r="D423" s="349" t="s">
        <v>444</v>
      </c>
      <c r="E423" s="330">
        <f>SUM(E424:E424)</f>
        <v>329500</v>
      </c>
      <c r="F423" s="330">
        <f>SUM(F424:F424)</f>
        <v>4000</v>
      </c>
      <c r="G423" s="330">
        <f>SUM(G424:G424)</f>
        <v>333500</v>
      </c>
      <c r="H423" s="331">
        <f t="shared" si="54"/>
        <v>101.21396054628224</v>
      </c>
      <c r="I423" s="332">
        <f t="shared" si="52"/>
        <v>1.0621019108280256</v>
      </c>
      <c r="J423" s="345"/>
    </row>
    <row r="424" spans="1:10" ht="14.25" customHeight="1">
      <c r="A424" s="238" t="s">
        <v>517</v>
      </c>
      <c r="B424" s="218"/>
      <c r="C424" s="307">
        <v>516100</v>
      </c>
      <c r="D424" s="347" t="s">
        <v>270</v>
      </c>
      <c r="E424" s="336">
        <v>329500</v>
      </c>
      <c r="F424" s="336">
        <f>G424-E424</f>
        <v>4000</v>
      </c>
      <c r="G424" s="336">
        <v>333500</v>
      </c>
      <c r="H424" s="326">
        <f t="shared" si="54"/>
        <v>101.21396054628224</v>
      </c>
      <c r="I424" s="327">
        <f t="shared" si="52"/>
        <v>1.0621019108280256</v>
      </c>
      <c r="J424" s="345"/>
    </row>
    <row r="425" spans="1:10" ht="13.5">
      <c r="A425" s="238"/>
      <c r="B425" s="235" t="s">
        <v>449</v>
      </c>
      <c r="C425" s="460"/>
      <c r="D425" s="349" t="s">
        <v>292</v>
      </c>
      <c r="E425" s="382">
        <f>SUM(E426:E426)</f>
        <v>35000</v>
      </c>
      <c r="F425" s="382">
        <f>SUM(F426:F426)</f>
        <v>500</v>
      </c>
      <c r="G425" s="382">
        <f>SUM(G426:G426)</f>
        <v>35500</v>
      </c>
      <c r="H425" s="331">
        <f t="shared" si="54"/>
        <v>101.42857142857142</v>
      </c>
      <c r="I425" s="332">
        <f t="shared" si="52"/>
        <v>0.11305732484076433</v>
      </c>
      <c r="J425" s="345"/>
    </row>
    <row r="426" spans="1:10" ht="12.75">
      <c r="A426" s="238"/>
      <c r="B426" s="218"/>
      <c r="C426" s="307">
        <v>631100</v>
      </c>
      <c r="D426" s="347" t="s">
        <v>451</v>
      </c>
      <c r="E426" s="336">
        <v>35000</v>
      </c>
      <c r="F426" s="336">
        <f>G426-E426</f>
        <v>500</v>
      </c>
      <c r="G426" s="336">
        <v>35500</v>
      </c>
      <c r="H426" s="326">
        <f t="shared" si="54"/>
        <v>101.42857142857142</v>
      </c>
      <c r="I426" s="327">
        <f t="shared" si="52"/>
        <v>0.11305732484076433</v>
      </c>
      <c r="J426" s="345"/>
    </row>
    <row r="427" spans="1:10" ht="25.5">
      <c r="A427" s="238"/>
      <c r="B427" s="235" t="s">
        <v>450</v>
      </c>
      <c r="C427" s="460"/>
      <c r="D427" s="349" t="s">
        <v>452</v>
      </c>
      <c r="E427" s="382">
        <f>SUM(E428)</f>
        <v>60000</v>
      </c>
      <c r="F427" s="382">
        <f>SUM(F428)</f>
        <v>42000</v>
      </c>
      <c r="G427" s="382">
        <f>SUM(G428)</f>
        <v>102000</v>
      </c>
      <c r="H427" s="331">
        <f t="shared" si="54"/>
        <v>170</v>
      </c>
      <c r="I427" s="332">
        <f t="shared" si="52"/>
        <v>0.3248407643312102</v>
      </c>
      <c r="J427" s="345"/>
    </row>
    <row r="428" spans="1:10" ht="24" customHeight="1">
      <c r="A428" s="238"/>
      <c r="B428" s="218"/>
      <c r="C428" s="458">
        <v>638100</v>
      </c>
      <c r="D428" s="347" t="s">
        <v>453</v>
      </c>
      <c r="E428" s="336">
        <v>60000</v>
      </c>
      <c r="F428" s="336">
        <f>G428-E428</f>
        <v>42000</v>
      </c>
      <c r="G428" s="336">
        <v>102000</v>
      </c>
      <c r="H428" s="326">
        <f t="shared" si="54"/>
        <v>170</v>
      </c>
      <c r="I428" s="327">
        <f t="shared" si="52"/>
        <v>0.3248407643312102</v>
      </c>
      <c r="J428" s="345"/>
    </row>
    <row r="429" spans="1:10" ht="24" customHeight="1">
      <c r="A429" s="238"/>
      <c r="B429" s="218"/>
      <c r="C429" s="491" t="s">
        <v>438</v>
      </c>
      <c r="D429" s="496"/>
      <c r="E429" s="333">
        <f>E402+E407+E416+E418+E420+E423+E425+E427</f>
        <v>6120100</v>
      </c>
      <c r="F429" s="333">
        <f>F402+F407+F416+F418+F420+F423+F425+F427</f>
        <v>340000</v>
      </c>
      <c r="G429" s="333">
        <f>G402+G407+G416+G418+G420+G423+G425+G427</f>
        <v>6460100</v>
      </c>
      <c r="H429" s="334">
        <f t="shared" si="54"/>
        <v>105.55546477998725</v>
      </c>
      <c r="I429" s="335">
        <f t="shared" si="52"/>
        <v>20.57356687898089</v>
      </c>
      <c r="J429" s="6"/>
    </row>
    <row r="430" spans="1:10" ht="9.75" customHeight="1">
      <c r="A430" s="505"/>
      <c r="B430" s="506"/>
      <c r="C430" s="494" t="s">
        <v>492</v>
      </c>
      <c r="D430" s="495"/>
      <c r="E430" s="148"/>
      <c r="F430" s="148"/>
      <c r="G430" s="148"/>
      <c r="H430" s="148"/>
      <c r="I430" s="149"/>
      <c r="J430" s="6"/>
    </row>
    <row r="431" spans="1:10" ht="9.75" customHeight="1">
      <c r="A431" s="505"/>
      <c r="B431" s="506"/>
      <c r="C431" s="495"/>
      <c r="D431" s="495"/>
      <c r="E431" s="150"/>
      <c r="F431" s="150"/>
      <c r="G431" s="150"/>
      <c r="H431" s="150"/>
      <c r="I431" s="151"/>
      <c r="J431" s="6"/>
    </row>
    <row r="432" spans="1:10" ht="23.25" customHeight="1">
      <c r="A432" s="505"/>
      <c r="B432" s="506"/>
      <c r="C432" s="495"/>
      <c r="D432" s="495"/>
      <c r="E432" s="152"/>
      <c r="F432" s="152"/>
      <c r="G432" s="152"/>
      <c r="H432" s="152"/>
      <c r="I432" s="153"/>
      <c r="J432" s="6"/>
    </row>
    <row r="433" spans="1:10" ht="14.25" customHeight="1">
      <c r="A433" s="119"/>
      <c r="B433" s="47">
        <v>411000</v>
      </c>
      <c r="C433" s="42"/>
      <c r="D433" s="72" t="s">
        <v>299</v>
      </c>
      <c r="E433" s="135">
        <f>SUM(E434)</f>
        <v>22000</v>
      </c>
      <c r="F433" s="135">
        <f>SUM(F434)</f>
        <v>0</v>
      </c>
      <c r="G433" s="135">
        <f>SUM(G434)</f>
        <v>22000</v>
      </c>
      <c r="H433" s="135">
        <f aca="true" t="shared" si="55" ref="H433:H448">G433/E433*100</f>
        <v>100</v>
      </c>
      <c r="I433" s="171">
        <f aca="true" t="shared" si="56" ref="I433:I448">G433/$G$562*100</f>
        <v>0.07006369426751592</v>
      </c>
      <c r="J433" s="6"/>
    </row>
    <row r="434" spans="1:10" ht="24.75" customHeight="1">
      <c r="A434" s="119" t="s">
        <v>25</v>
      </c>
      <c r="B434" s="122"/>
      <c r="C434" s="60">
        <v>411200</v>
      </c>
      <c r="D434" s="66" t="s">
        <v>300</v>
      </c>
      <c r="E434" s="142">
        <v>22000</v>
      </c>
      <c r="F434" s="142">
        <f>G434-E434</f>
        <v>0</v>
      </c>
      <c r="G434" s="142">
        <v>22000</v>
      </c>
      <c r="H434" s="138">
        <f t="shared" si="55"/>
        <v>100</v>
      </c>
      <c r="I434" s="380">
        <f t="shared" si="56"/>
        <v>0.07006369426751592</v>
      </c>
      <c r="J434" s="6"/>
    </row>
    <row r="435" spans="1:10" ht="14.25" customHeight="1">
      <c r="A435" s="119"/>
      <c r="B435" s="47">
        <v>412000</v>
      </c>
      <c r="C435" s="60"/>
      <c r="D435" s="72" t="s">
        <v>114</v>
      </c>
      <c r="E435" s="173">
        <f>SUM(E436:E443)</f>
        <v>79700</v>
      </c>
      <c r="F435" s="173">
        <f>SUM(F436:F443)</f>
        <v>3702</v>
      </c>
      <c r="G435" s="173">
        <f>SUM(G436:G443)</f>
        <v>83402</v>
      </c>
      <c r="H435" s="135">
        <f t="shared" si="55"/>
        <v>104.64491844416561</v>
      </c>
      <c r="I435" s="171">
        <f t="shared" si="56"/>
        <v>0.2656114649681529</v>
      </c>
      <c r="J435" s="6"/>
    </row>
    <row r="436" spans="1:10" ht="24.75" customHeight="1">
      <c r="A436" s="119" t="s">
        <v>25</v>
      </c>
      <c r="B436" s="47"/>
      <c r="C436" s="60">
        <v>412200</v>
      </c>
      <c r="D436" s="82" t="s">
        <v>116</v>
      </c>
      <c r="E436" s="144">
        <v>58000</v>
      </c>
      <c r="F436" s="144">
        <f>G436-E436</f>
        <v>-4700</v>
      </c>
      <c r="G436" s="144">
        <v>53300</v>
      </c>
      <c r="H436" s="138">
        <f t="shared" si="55"/>
        <v>91.89655172413794</v>
      </c>
      <c r="I436" s="380">
        <f t="shared" si="56"/>
        <v>0.1697452229299363</v>
      </c>
      <c r="J436" s="6"/>
    </row>
    <row r="437" spans="1:10" ht="42" customHeight="1">
      <c r="A437" s="119" t="s">
        <v>25</v>
      </c>
      <c r="B437" s="47"/>
      <c r="C437" s="60">
        <v>412200</v>
      </c>
      <c r="D437" s="82" t="s">
        <v>635</v>
      </c>
      <c r="E437" s="144">
        <v>0</v>
      </c>
      <c r="F437" s="144">
        <f>G437-E437</f>
        <v>702</v>
      </c>
      <c r="G437" s="144">
        <v>702</v>
      </c>
      <c r="H437" s="138" t="e">
        <f t="shared" si="55"/>
        <v>#DIV/0!</v>
      </c>
      <c r="I437" s="380">
        <f t="shared" si="56"/>
        <v>0.002235668789808917</v>
      </c>
      <c r="J437" s="6"/>
    </row>
    <row r="438" spans="1:10" ht="12.75">
      <c r="A438" s="119" t="s">
        <v>25</v>
      </c>
      <c r="B438" s="47"/>
      <c r="C438" s="60">
        <v>412300</v>
      </c>
      <c r="D438" s="122" t="s">
        <v>117</v>
      </c>
      <c r="E438" s="142">
        <v>4000</v>
      </c>
      <c r="F438" s="144">
        <f aca="true" t="shared" si="57" ref="F438:F443">G438-E438</f>
        <v>0</v>
      </c>
      <c r="G438" s="142">
        <v>4000</v>
      </c>
      <c r="H438" s="138">
        <f t="shared" si="55"/>
        <v>100</v>
      </c>
      <c r="I438" s="380">
        <f t="shared" si="56"/>
        <v>0.012738853503184712</v>
      </c>
      <c r="J438" s="6"/>
    </row>
    <row r="439" spans="1:10" ht="12.75">
      <c r="A439" s="119" t="s">
        <v>25</v>
      </c>
      <c r="B439" s="47"/>
      <c r="C439" s="60">
        <v>412400</v>
      </c>
      <c r="D439" s="82" t="s">
        <v>118</v>
      </c>
      <c r="E439" s="142">
        <v>4000</v>
      </c>
      <c r="F439" s="144">
        <f t="shared" si="57"/>
        <v>0</v>
      </c>
      <c r="G439" s="142">
        <v>4000</v>
      </c>
      <c r="H439" s="138">
        <f t="shared" si="55"/>
        <v>100</v>
      </c>
      <c r="I439" s="380">
        <f t="shared" si="56"/>
        <v>0.012738853503184712</v>
      </c>
      <c r="J439" s="6"/>
    </row>
    <row r="440" spans="1:10" ht="12.75">
      <c r="A440" s="119" t="s">
        <v>25</v>
      </c>
      <c r="B440" s="47"/>
      <c r="C440" s="60">
        <v>412500</v>
      </c>
      <c r="D440" s="122" t="s">
        <v>119</v>
      </c>
      <c r="E440" s="142">
        <v>5000</v>
      </c>
      <c r="F440" s="144">
        <f t="shared" si="57"/>
        <v>0</v>
      </c>
      <c r="G440" s="142">
        <v>5000</v>
      </c>
      <c r="H440" s="138">
        <f t="shared" si="55"/>
        <v>100</v>
      </c>
      <c r="I440" s="380">
        <f t="shared" si="56"/>
        <v>0.01592356687898089</v>
      </c>
      <c r="J440" s="6"/>
    </row>
    <row r="441" spans="1:10" ht="12.75">
      <c r="A441" s="119" t="s">
        <v>25</v>
      </c>
      <c r="B441" s="47"/>
      <c r="C441" s="60">
        <v>412600</v>
      </c>
      <c r="D441" s="122" t="s">
        <v>120</v>
      </c>
      <c r="E441" s="142">
        <v>2000</v>
      </c>
      <c r="F441" s="144">
        <f t="shared" si="57"/>
        <v>0</v>
      </c>
      <c r="G441" s="142">
        <v>2000</v>
      </c>
      <c r="H441" s="138">
        <f t="shared" si="55"/>
        <v>100</v>
      </c>
      <c r="I441" s="380">
        <f t="shared" si="56"/>
        <v>0.006369426751592356</v>
      </c>
      <c r="J441" s="6"/>
    </row>
    <row r="442" spans="1:10" ht="12.75">
      <c r="A442" s="119" t="s">
        <v>25</v>
      </c>
      <c r="B442" s="47"/>
      <c r="C442" s="122">
        <v>412700</v>
      </c>
      <c r="D442" s="122" t="s">
        <v>121</v>
      </c>
      <c r="E442" s="142">
        <v>3700</v>
      </c>
      <c r="F442" s="144">
        <f t="shared" si="57"/>
        <v>500</v>
      </c>
      <c r="G442" s="142">
        <v>4200</v>
      </c>
      <c r="H442" s="138">
        <f t="shared" si="55"/>
        <v>113.51351351351352</v>
      </c>
      <c r="I442" s="380">
        <f t="shared" si="56"/>
        <v>0.013375796178343948</v>
      </c>
      <c r="J442" s="6"/>
    </row>
    <row r="443" spans="1:10" ht="15.75" customHeight="1">
      <c r="A443" s="119" t="s">
        <v>25</v>
      </c>
      <c r="B443" s="47"/>
      <c r="C443" s="122">
        <v>412900</v>
      </c>
      <c r="D443" s="122" t="s">
        <v>123</v>
      </c>
      <c r="E443" s="142">
        <v>3000</v>
      </c>
      <c r="F443" s="144">
        <f t="shared" si="57"/>
        <v>7200</v>
      </c>
      <c r="G443" s="142">
        <v>10200</v>
      </c>
      <c r="H443" s="138">
        <f t="shared" si="55"/>
        <v>340</v>
      </c>
      <c r="I443" s="380">
        <f t="shared" si="56"/>
        <v>0.03248407643312102</v>
      </c>
      <c r="J443" s="6"/>
    </row>
    <row r="444" spans="1:10" ht="11.25" customHeight="1">
      <c r="A444" s="119"/>
      <c r="B444" s="47">
        <v>511000</v>
      </c>
      <c r="C444" s="122"/>
      <c r="D444" s="133" t="s">
        <v>132</v>
      </c>
      <c r="E444" s="173">
        <f>SUM(E445:E445)</f>
        <v>2000</v>
      </c>
      <c r="F444" s="173">
        <f>SUM(F445:F445)</f>
        <v>0</v>
      </c>
      <c r="G444" s="173">
        <f>SUM(G445:G445)</f>
        <v>2000</v>
      </c>
      <c r="H444" s="135">
        <f t="shared" si="55"/>
        <v>100</v>
      </c>
      <c r="I444" s="171">
        <f t="shared" si="56"/>
        <v>0.006369426751592356</v>
      </c>
      <c r="J444" s="6"/>
    </row>
    <row r="445" spans="1:10" ht="12.75">
      <c r="A445" s="119" t="s">
        <v>25</v>
      </c>
      <c r="B445" s="122"/>
      <c r="C445" s="122">
        <v>511300</v>
      </c>
      <c r="D445" s="122" t="s">
        <v>2</v>
      </c>
      <c r="E445" s="142">
        <v>2000</v>
      </c>
      <c r="F445" s="142">
        <f>G445-E445</f>
        <v>0</v>
      </c>
      <c r="G445" s="142">
        <v>2000</v>
      </c>
      <c r="H445" s="138">
        <f t="shared" si="55"/>
        <v>100</v>
      </c>
      <c r="I445" s="380">
        <f t="shared" si="56"/>
        <v>0.006369426751592356</v>
      </c>
      <c r="J445" s="6"/>
    </row>
    <row r="446" spans="1:10" ht="24" customHeight="1">
      <c r="A446" s="126"/>
      <c r="B446" s="47">
        <v>516000</v>
      </c>
      <c r="C446" s="122"/>
      <c r="D446" s="133" t="s">
        <v>270</v>
      </c>
      <c r="E446" s="173">
        <f>SUM(E447)</f>
        <v>600</v>
      </c>
      <c r="F446" s="173">
        <f>SUM(F447)</f>
        <v>0</v>
      </c>
      <c r="G446" s="173">
        <f>SUM(G447)</f>
        <v>600</v>
      </c>
      <c r="H446" s="135">
        <f t="shared" si="55"/>
        <v>100</v>
      </c>
      <c r="I446" s="171">
        <f t="shared" si="56"/>
        <v>0.0019108280254777072</v>
      </c>
      <c r="J446" s="6"/>
    </row>
    <row r="447" spans="1:10" ht="12.75">
      <c r="A447" s="119" t="s">
        <v>25</v>
      </c>
      <c r="B447" s="122"/>
      <c r="C447" s="122">
        <v>516100</v>
      </c>
      <c r="D447" s="82" t="s">
        <v>263</v>
      </c>
      <c r="E447" s="142">
        <v>600</v>
      </c>
      <c r="F447" s="142">
        <f>G447-E447</f>
        <v>0</v>
      </c>
      <c r="G447" s="142">
        <v>600</v>
      </c>
      <c r="H447" s="138">
        <f t="shared" si="55"/>
        <v>100</v>
      </c>
      <c r="I447" s="380">
        <f t="shared" si="56"/>
        <v>0.0019108280254777072</v>
      </c>
      <c r="J447" s="6"/>
    </row>
    <row r="448" spans="1:10" ht="24.75" customHeight="1">
      <c r="A448" s="509"/>
      <c r="B448" s="510"/>
      <c r="C448" s="491" t="s">
        <v>84</v>
      </c>
      <c r="D448" s="491"/>
      <c r="E448" s="157">
        <f>E433+E435+E444+E446</f>
        <v>104300</v>
      </c>
      <c r="F448" s="157">
        <f>F433+F435+F444+F446</f>
        <v>3702</v>
      </c>
      <c r="G448" s="157">
        <f>G433+G435+G444+G446</f>
        <v>108002</v>
      </c>
      <c r="H448" s="354">
        <f t="shared" si="55"/>
        <v>103.54937679769895</v>
      </c>
      <c r="I448" s="335">
        <f t="shared" si="56"/>
        <v>0.3439554140127388</v>
      </c>
      <c r="J448" s="6"/>
    </row>
    <row r="449" spans="1:10" ht="9.75" customHeight="1">
      <c r="A449" s="509"/>
      <c r="B449" s="510"/>
      <c r="C449" s="494" t="s">
        <v>493</v>
      </c>
      <c r="D449" s="495"/>
      <c r="E449" s="187"/>
      <c r="F449" s="187"/>
      <c r="G449" s="187"/>
      <c r="H449" s="187"/>
      <c r="I449" s="188"/>
      <c r="J449" s="6"/>
    </row>
    <row r="450" spans="1:10" ht="33" customHeight="1">
      <c r="A450" s="509"/>
      <c r="B450" s="510"/>
      <c r="C450" s="495"/>
      <c r="D450" s="495"/>
      <c r="E450" s="191"/>
      <c r="F450" s="191"/>
      <c r="G450" s="191"/>
      <c r="H450" s="191"/>
      <c r="I450" s="192"/>
      <c r="J450" s="6"/>
    </row>
    <row r="451" spans="1:10" ht="14.25" customHeight="1">
      <c r="A451" s="212"/>
      <c r="B451" s="47">
        <v>411000</v>
      </c>
      <c r="C451" s="42"/>
      <c r="D451" s="72" t="s">
        <v>299</v>
      </c>
      <c r="E451" s="135">
        <f>SUM(E452)</f>
        <v>65000</v>
      </c>
      <c r="F451" s="135">
        <f>SUM(F452)</f>
        <v>-13000</v>
      </c>
      <c r="G451" s="135">
        <f>SUM(G452)</f>
        <v>52000</v>
      </c>
      <c r="H451" s="135">
        <f aca="true" t="shared" si="58" ref="H451:H473">G451/E451*100</f>
        <v>80</v>
      </c>
      <c r="I451" s="171">
        <f aca="true" t="shared" si="59" ref="I451:I473">G451/$G$562*100</f>
        <v>0.16560509554140126</v>
      </c>
      <c r="J451" s="6"/>
    </row>
    <row r="452" spans="1:10" ht="24" customHeight="1">
      <c r="A452" s="119" t="s">
        <v>49</v>
      </c>
      <c r="B452" s="122"/>
      <c r="C452" s="60">
        <v>411200</v>
      </c>
      <c r="D452" s="66" t="s">
        <v>300</v>
      </c>
      <c r="E452" s="142">
        <v>65000</v>
      </c>
      <c r="F452" s="142">
        <f>G452-E452</f>
        <v>-13000</v>
      </c>
      <c r="G452" s="142">
        <v>52000</v>
      </c>
      <c r="H452" s="138">
        <f t="shared" si="58"/>
        <v>80</v>
      </c>
      <c r="I452" s="380">
        <f t="shared" si="59"/>
        <v>0.16560509554140126</v>
      </c>
      <c r="J452" s="6"/>
    </row>
    <row r="453" spans="1:10" ht="14.25" customHeight="1">
      <c r="A453" s="212"/>
      <c r="B453" s="47">
        <v>412000</v>
      </c>
      <c r="C453" s="60"/>
      <c r="D453" s="72" t="s">
        <v>114</v>
      </c>
      <c r="E453" s="173">
        <f>SUM(E454:E465)</f>
        <v>58400</v>
      </c>
      <c r="F453" s="173">
        <f>SUM(F454:F465)</f>
        <v>30131.270000000004</v>
      </c>
      <c r="G453" s="173">
        <f>SUM(G454:G465)</f>
        <v>88531.26999999999</v>
      </c>
      <c r="H453" s="135">
        <f t="shared" si="58"/>
        <v>151.5946404109589</v>
      </c>
      <c r="I453" s="171">
        <f t="shared" si="59"/>
        <v>0.2819467197452229</v>
      </c>
      <c r="J453" s="6"/>
    </row>
    <row r="454" spans="1:10" ht="25.5">
      <c r="A454" s="119" t="s">
        <v>49</v>
      </c>
      <c r="B454" s="47"/>
      <c r="C454" s="60">
        <v>412200</v>
      </c>
      <c r="D454" s="82" t="s">
        <v>116</v>
      </c>
      <c r="E454" s="142">
        <v>22000</v>
      </c>
      <c r="F454" s="142">
        <f>G454-E454</f>
        <v>0</v>
      </c>
      <c r="G454" s="142">
        <v>22000</v>
      </c>
      <c r="H454" s="138">
        <f t="shared" si="58"/>
        <v>100</v>
      </c>
      <c r="I454" s="380">
        <f t="shared" si="59"/>
        <v>0.07006369426751592</v>
      </c>
      <c r="J454" s="410"/>
    </row>
    <row r="455" spans="1:10" ht="51">
      <c r="A455" s="119" t="s">
        <v>49</v>
      </c>
      <c r="B455" s="47"/>
      <c r="C455" s="60">
        <v>412200</v>
      </c>
      <c r="D455" s="82" t="s">
        <v>638</v>
      </c>
      <c r="E455" s="142">
        <v>0</v>
      </c>
      <c r="F455" s="142">
        <f>G455-E455</f>
        <v>459.84</v>
      </c>
      <c r="G455" s="142">
        <v>459.84</v>
      </c>
      <c r="H455" s="138" t="e">
        <f t="shared" si="58"/>
        <v>#DIV/0!</v>
      </c>
      <c r="I455" s="380">
        <f t="shared" si="59"/>
        <v>0.0014644585987261146</v>
      </c>
      <c r="J455" s="410"/>
    </row>
    <row r="456" spans="1:10" ht="37.5" customHeight="1">
      <c r="A456" s="119" t="s">
        <v>25</v>
      </c>
      <c r="B456" s="47"/>
      <c r="C456" s="60">
        <v>412200</v>
      </c>
      <c r="D456" s="82" t="s">
        <v>639</v>
      </c>
      <c r="E456" s="142">
        <v>0</v>
      </c>
      <c r="F456" s="142">
        <f>G456-E456</f>
        <v>1404</v>
      </c>
      <c r="G456" s="142">
        <v>1404</v>
      </c>
      <c r="H456" s="138" t="e">
        <f t="shared" si="58"/>
        <v>#DIV/0!</v>
      </c>
      <c r="I456" s="380">
        <f t="shared" si="59"/>
        <v>0.004471337579617834</v>
      </c>
      <c r="J456" s="6"/>
    </row>
    <row r="457" spans="1:10" ht="12.75">
      <c r="A457" s="119" t="s">
        <v>49</v>
      </c>
      <c r="B457" s="47"/>
      <c r="C457" s="60">
        <v>412300</v>
      </c>
      <c r="D457" s="122" t="s">
        <v>117</v>
      </c>
      <c r="E457" s="142">
        <v>4000</v>
      </c>
      <c r="F457" s="142">
        <f aca="true" t="shared" si="60" ref="F457:F465">G457-E457</f>
        <v>1500</v>
      </c>
      <c r="G457" s="142">
        <v>5500</v>
      </c>
      <c r="H457" s="138">
        <f t="shared" si="58"/>
        <v>137.5</v>
      </c>
      <c r="I457" s="380">
        <f t="shared" si="59"/>
        <v>0.01751592356687898</v>
      </c>
      <c r="J457" s="6"/>
    </row>
    <row r="458" spans="1:10" ht="12.75">
      <c r="A458" s="119" t="s">
        <v>49</v>
      </c>
      <c r="B458" s="47"/>
      <c r="C458" s="60">
        <v>412400</v>
      </c>
      <c r="D458" s="82" t="s">
        <v>118</v>
      </c>
      <c r="E458" s="142">
        <v>12000</v>
      </c>
      <c r="F458" s="142">
        <f t="shared" si="60"/>
        <v>0</v>
      </c>
      <c r="G458" s="142">
        <v>12000</v>
      </c>
      <c r="H458" s="138">
        <f t="shared" si="58"/>
        <v>100</v>
      </c>
      <c r="I458" s="380">
        <f t="shared" si="59"/>
        <v>0.03821656050955414</v>
      </c>
      <c r="J458" s="6"/>
    </row>
    <row r="459" spans="1:10" ht="38.25">
      <c r="A459" s="119" t="s">
        <v>49</v>
      </c>
      <c r="B459" s="47"/>
      <c r="C459" s="60">
        <v>412400</v>
      </c>
      <c r="D459" s="82" t="s">
        <v>640</v>
      </c>
      <c r="E459" s="142">
        <v>0</v>
      </c>
      <c r="F459" s="142">
        <f t="shared" si="60"/>
        <v>6234.35</v>
      </c>
      <c r="G459" s="142">
        <v>6234.35</v>
      </c>
      <c r="H459" s="138" t="e">
        <f t="shared" si="58"/>
        <v>#DIV/0!</v>
      </c>
      <c r="I459" s="380">
        <f t="shared" si="59"/>
        <v>0.019854617834394905</v>
      </c>
      <c r="J459" s="410"/>
    </row>
    <row r="460" spans="1:10" ht="12.75">
      <c r="A460" s="119" t="s">
        <v>49</v>
      </c>
      <c r="B460" s="47"/>
      <c r="C460" s="60">
        <v>412500</v>
      </c>
      <c r="D460" s="122" t="s">
        <v>119</v>
      </c>
      <c r="E460" s="142">
        <v>5800</v>
      </c>
      <c r="F460" s="142">
        <f t="shared" si="60"/>
        <v>8500</v>
      </c>
      <c r="G460" s="142">
        <v>14300</v>
      </c>
      <c r="H460" s="138">
        <f t="shared" si="58"/>
        <v>246.55172413793105</v>
      </c>
      <c r="I460" s="380">
        <f t="shared" si="59"/>
        <v>0.04554140127388535</v>
      </c>
      <c r="J460" s="6"/>
    </row>
    <row r="461" spans="1:10" ht="38.25">
      <c r="A461" s="119" t="s">
        <v>49</v>
      </c>
      <c r="B461" s="47"/>
      <c r="C461" s="60">
        <v>412500</v>
      </c>
      <c r="D461" s="82" t="s">
        <v>641</v>
      </c>
      <c r="E461" s="142">
        <v>0</v>
      </c>
      <c r="F461" s="142">
        <f t="shared" si="60"/>
        <v>804.58</v>
      </c>
      <c r="G461" s="142">
        <v>804.58</v>
      </c>
      <c r="H461" s="138" t="e">
        <f t="shared" si="58"/>
        <v>#DIV/0!</v>
      </c>
      <c r="I461" s="380">
        <f t="shared" si="59"/>
        <v>0.002562356687898089</v>
      </c>
      <c r="J461" s="6"/>
    </row>
    <row r="462" spans="1:10" ht="12.75">
      <c r="A462" s="119" t="s">
        <v>49</v>
      </c>
      <c r="B462" s="47"/>
      <c r="C462" s="60">
        <v>412600</v>
      </c>
      <c r="D462" s="122" t="s">
        <v>120</v>
      </c>
      <c r="E462" s="142">
        <v>1600</v>
      </c>
      <c r="F462" s="142">
        <f t="shared" si="60"/>
        <v>0</v>
      </c>
      <c r="G462" s="142">
        <v>1600</v>
      </c>
      <c r="H462" s="138">
        <f t="shared" si="58"/>
        <v>100</v>
      </c>
      <c r="I462" s="380">
        <f t="shared" si="59"/>
        <v>0.005095541401273886</v>
      </c>
      <c r="J462" s="6"/>
    </row>
    <row r="463" spans="1:10" ht="12.75">
      <c r="A463" s="119" t="s">
        <v>49</v>
      </c>
      <c r="B463" s="47"/>
      <c r="C463" s="122">
        <v>412700</v>
      </c>
      <c r="D463" s="122" t="s">
        <v>121</v>
      </c>
      <c r="E463" s="144">
        <v>9000</v>
      </c>
      <c r="F463" s="142">
        <f t="shared" si="60"/>
        <v>0</v>
      </c>
      <c r="G463" s="144">
        <v>9000</v>
      </c>
      <c r="H463" s="138">
        <f t="shared" si="58"/>
        <v>100</v>
      </c>
      <c r="I463" s="380">
        <f t="shared" si="59"/>
        <v>0.028662420382165602</v>
      </c>
      <c r="J463" s="6"/>
    </row>
    <row r="464" spans="1:10" ht="12.75">
      <c r="A464" s="119" t="s">
        <v>49</v>
      </c>
      <c r="B464" s="47"/>
      <c r="C464" s="122">
        <v>412900</v>
      </c>
      <c r="D464" s="122" t="s">
        <v>123</v>
      </c>
      <c r="E464" s="142">
        <v>4000</v>
      </c>
      <c r="F464" s="142">
        <f t="shared" si="60"/>
        <v>10000</v>
      </c>
      <c r="G464" s="142">
        <v>14000</v>
      </c>
      <c r="H464" s="138">
        <f t="shared" si="58"/>
        <v>350</v>
      </c>
      <c r="I464" s="380">
        <f t="shared" si="59"/>
        <v>0.044585987261146494</v>
      </c>
      <c r="J464" s="6"/>
    </row>
    <row r="465" spans="1:10" ht="12" customHeight="1">
      <c r="A465" s="119" t="s">
        <v>49</v>
      </c>
      <c r="B465" s="47"/>
      <c r="C465" s="122">
        <v>412900</v>
      </c>
      <c r="D465" s="122" t="s">
        <v>519</v>
      </c>
      <c r="E465" s="142">
        <v>0</v>
      </c>
      <c r="F465" s="142">
        <f t="shared" si="60"/>
        <v>1228.5</v>
      </c>
      <c r="G465" s="142">
        <v>1228.5</v>
      </c>
      <c r="H465" s="138" t="e">
        <f t="shared" si="58"/>
        <v>#DIV/0!</v>
      </c>
      <c r="I465" s="380">
        <f t="shared" si="59"/>
        <v>0.003912420382165605</v>
      </c>
      <c r="J465" s="6"/>
    </row>
    <row r="466" spans="1:10" ht="13.5" customHeight="1">
      <c r="A466" s="119"/>
      <c r="B466" s="47">
        <v>416100</v>
      </c>
      <c r="C466" s="122"/>
      <c r="D466" s="372" t="s">
        <v>525</v>
      </c>
      <c r="E466" s="227">
        <f>E467</f>
        <v>44000</v>
      </c>
      <c r="F466" s="227">
        <f>F467</f>
        <v>0</v>
      </c>
      <c r="G466" s="227">
        <f>G467</f>
        <v>44000</v>
      </c>
      <c r="H466" s="227">
        <f t="shared" si="58"/>
        <v>100</v>
      </c>
      <c r="I466" s="394">
        <f t="shared" si="59"/>
        <v>0.14012738853503184</v>
      </c>
      <c r="J466" s="6"/>
    </row>
    <row r="467" spans="1:10" ht="24" customHeight="1">
      <c r="A467" s="119" t="s">
        <v>49</v>
      </c>
      <c r="B467" s="47"/>
      <c r="C467" s="122">
        <v>416100</v>
      </c>
      <c r="D467" s="82" t="s">
        <v>608</v>
      </c>
      <c r="E467" s="142">
        <v>44000</v>
      </c>
      <c r="F467" s="142">
        <f>G467-E467</f>
        <v>0</v>
      </c>
      <c r="G467" s="142">
        <v>44000</v>
      </c>
      <c r="H467" s="138">
        <f t="shared" si="58"/>
        <v>100</v>
      </c>
      <c r="I467" s="380">
        <f t="shared" si="59"/>
        <v>0.14012738853503184</v>
      </c>
      <c r="J467" s="6"/>
    </row>
    <row r="468" spans="1:10" ht="14.25" customHeight="1">
      <c r="A468" s="119"/>
      <c r="B468" s="47">
        <v>511000</v>
      </c>
      <c r="C468" s="60"/>
      <c r="D468" s="133" t="s">
        <v>132</v>
      </c>
      <c r="E468" s="173">
        <f>SUM(E469:E470)</f>
        <v>4000</v>
      </c>
      <c r="F468" s="173">
        <f>SUM(F469:F470)</f>
        <v>52000</v>
      </c>
      <c r="G468" s="173">
        <f>SUM(G469:G470)</f>
        <v>56000</v>
      </c>
      <c r="H468" s="135">
        <f t="shared" si="58"/>
        <v>1400</v>
      </c>
      <c r="I468" s="171">
        <f t="shared" si="59"/>
        <v>0.17834394904458598</v>
      </c>
      <c r="J468" s="6"/>
    </row>
    <row r="469" spans="1:10" ht="39" customHeight="1">
      <c r="A469" s="238" t="s">
        <v>49</v>
      </c>
      <c r="B469" s="47"/>
      <c r="C469" s="60">
        <v>511200</v>
      </c>
      <c r="D469" s="115" t="s">
        <v>587</v>
      </c>
      <c r="E469" s="142">
        <v>0</v>
      </c>
      <c r="F469" s="142">
        <f>G469-E469</f>
        <v>50000</v>
      </c>
      <c r="G469" s="142">
        <v>50000</v>
      </c>
      <c r="H469" s="138" t="e">
        <f t="shared" si="58"/>
        <v>#DIV/0!</v>
      </c>
      <c r="I469" s="380">
        <f t="shared" si="59"/>
        <v>0.15923566878980894</v>
      </c>
      <c r="J469" s="6"/>
    </row>
    <row r="470" spans="1:10" ht="15.75" customHeight="1">
      <c r="A470" s="119" t="s">
        <v>49</v>
      </c>
      <c r="B470" s="122"/>
      <c r="C470" s="60">
        <v>511300</v>
      </c>
      <c r="D470" s="122" t="s">
        <v>2</v>
      </c>
      <c r="E470" s="142">
        <v>4000</v>
      </c>
      <c r="F470" s="142">
        <f>G470-E470</f>
        <v>2000</v>
      </c>
      <c r="G470" s="142">
        <v>6000</v>
      </c>
      <c r="H470" s="138">
        <f t="shared" si="58"/>
        <v>150</v>
      </c>
      <c r="I470" s="380">
        <f t="shared" si="59"/>
        <v>0.01910828025477707</v>
      </c>
      <c r="J470" s="6"/>
    </row>
    <row r="471" spans="1:10" ht="24.75" customHeight="1">
      <c r="A471" s="119"/>
      <c r="B471" s="47">
        <v>516000</v>
      </c>
      <c r="C471" s="60"/>
      <c r="D471" s="133" t="s">
        <v>270</v>
      </c>
      <c r="E471" s="173">
        <f>SUM(E472)</f>
        <v>600</v>
      </c>
      <c r="F471" s="173">
        <f>SUM(F472)</f>
        <v>0</v>
      </c>
      <c r="G471" s="173">
        <f>SUM(G472)</f>
        <v>600</v>
      </c>
      <c r="H471" s="135">
        <f t="shared" si="58"/>
        <v>100</v>
      </c>
      <c r="I471" s="171">
        <f t="shared" si="59"/>
        <v>0.0019108280254777072</v>
      </c>
      <c r="J471" s="6"/>
    </row>
    <row r="472" spans="1:10" ht="14.25" customHeight="1">
      <c r="A472" s="119" t="s">
        <v>49</v>
      </c>
      <c r="B472" s="122"/>
      <c r="C472" s="60">
        <v>516100</v>
      </c>
      <c r="D472" s="82" t="s">
        <v>263</v>
      </c>
      <c r="E472" s="142">
        <v>600</v>
      </c>
      <c r="F472" s="142">
        <f>G472-E472</f>
        <v>0</v>
      </c>
      <c r="G472" s="142">
        <v>600</v>
      </c>
      <c r="H472" s="138">
        <f t="shared" si="58"/>
        <v>100</v>
      </c>
      <c r="I472" s="380">
        <f t="shared" si="59"/>
        <v>0.0019108280254777072</v>
      </c>
      <c r="J472" s="6"/>
    </row>
    <row r="473" spans="1:10" ht="27" customHeight="1">
      <c r="A473" s="509"/>
      <c r="B473" s="510"/>
      <c r="C473" s="491" t="s">
        <v>85</v>
      </c>
      <c r="D473" s="496"/>
      <c r="E473" s="157">
        <f>E451+E453+E466+E468+E471</f>
        <v>172000</v>
      </c>
      <c r="F473" s="157">
        <f>F451+F453+F466+F468+F471</f>
        <v>69131.27</v>
      </c>
      <c r="G473" s="157">
        <f>G451+G453+G466+G468+G471</f>
        <v>241131.27</v>
      </c>
      <c r="H473" s="354">
        <f t="shared" si="58"/>
        <v>140.1925988372093</v>
      </c>
      <c r="I473" s="335">
        <f t="shared" si="59"/>
        <v>0.7679339808917197</v>
      </c>
      <c r="J473" s="6"/>
    </row>
    <row r="474" spans="1:10" ht="9.75" customHeight="1">
      <c r="A474" s="507"/>
      <c r="B474" s="508"/>
      <c r="C474" s="494" t="s">
        <v>494</v>
      </c>
      <c r="D474" s="495"/>
      <c r="E474" s="189"/>
      <c r="F474" s="189"/>
      <c r="G474" s="189"/>
      <c r="H474" s="189"/>
      <c r="I474" s="190"/>
      <c r="J474" s="6"/>
    </row>
    <row r="475" spans="1:10" ht="30" customHeight="1">
      <c r="A475" s="509"/>
      <c r="B475" s="510"/>
      <c r="C475" s="495"/>
      <c r="D475" s="495"/>
      <c r="E475" s="191"/>
      <c r="F475" s="191"/>
      <c r="G475" s="191"/>
      <c r="H475" s="191"/>
      <c r="I475" s="192"/>
      <c r="J475" s="6"/>
    </row>
    <row r="476" spans="1:10" ht="14.25" customHeight="1">
      <c r="A476" s="119"/>
      <c r="B476" s="47">
        <v>411000</v>
      </c>
      <c r="C476" s="122"/>
      <c r="D476" s="65" t="s">
        <v>299</v>
      </c>
      <c r="E476" s="134">
        <f>SUM(E477:E480)</f>
        <v>311000</v>
      </c>
      <c r="F476" s="134">
        <f>SUM(F477:F480)</f>
        <v>-51200</v>
      </c>
      <c r="G476" s="134">
        <f>SUM(G477:G480)</f>
        <v>259800</v>
      </c>
      <c r="H476" s="135">
        <f aca="true" t="shared" si="61" ref="H476:H496">G476/E476*100</f>
        <v>83.53697749196142</v>
      </c>
      <c r="I476" s="171">
        <f aca="true" t="shared" si="62" ref="I476:I496">G476/$G$562*100</f>
        <v>0.8273885350318472</v>
      </c>
      <c r="J476" s="6"/>
    </row>
    <row r="477" spans="1:10" ht="12.75">
      <c r="A477" s="119" t="s">
        <v>29</v>
      </c>
      <c r="B477" s="122"/>
      <c r="C477" s="60">
        <v>411100</v>
      </c>
      <c r="D477" s="66" t="s">
        <v>295</v>
      </c>
      <c r="E477" s="142">
        <v>244000</v>
      </c>
      <c r="F477" s="142">
        <f>G477-E477</f>
        <v>-46200</v>
      </c>
      <c r="G477" s="142">
        <v>197800</v>
      </c>
      <c r="H477" s="138">
        <f t="shared" si="61"/>
        <v>81.06557377049181</v>
      </c>
      <c r="I477" s="380">
        <f t="shared" si="62"/>
        <v>0.629936305732484</v>
      </c>
      <c r="J477" s="6"/>
    </row>
    <row r="478" spans="1:10" ht="25.5">
      <c r="A478" s="119" t="s">
        <v>29</v>
      </c>
      <c r="B478" s="122"/>
      <c r="C478" s="60">
        <v>411200</v>
      </c>
      <c r="D478" s="66" t="s">
        <v>300</v>
      </c>
      <c r="E478" s="142">
        <v>60000</v>
      </c>
      <c r="F478" s="142">
        <f>G478-E478</f>
        <v>-5000</v>
      </c>
      <c r="G478" s="142">
        <v>55000</v>
      </c>
      <c r="H478" s="138">
        <f t="shared" si="61"/>
        <v>91.66666666666666</v>
      </c>
      <c r="I478" s="380">
        <f t="shared" si="62"/>
        <v>0.17515923566878983</v>
      </c>
      <c r="J478" s="6"/>
    </row>
    <row r="479" spans="1:10" ht="25.5" customHeight="1">
      <c r="A479" s="119" t="s">
        <v>29</v>
      </c>
      <c r="B479" s="122"/>
      <c r="C479" s="60">
        <v>411300</v>
      </c>
      <c r="D479" s="66" t="s">
        <v>375</v>
      </c>
      <c r="E479" s="142">
        <v>4000</v>
      </c>
      <c r="F479" s="142">
        <f>G479-E479</f>
        <v>0</v>
      </c>
      <c r="G479" s="142">
        <v>4000</v>
      </c>
      <c r="H479" s="138">
        <f t="shared" si="61"/>
        <v>100</v>
      </c>
      <c r="I479" s="380">
        <f t="shared" si="62"/>
        <v>0.012738853503184712</v>
      </c>
      <c r="J479" s="6"/>
    </row>
    <row r="480" spans="1:10" ht="12.75">
      <c r="A480" s="119" t="s">
        <v>29</v>
      </c>
      <c r="B480" s="122"/>
      <c r="C480" s="60">
        <v>411400</v>
      </c>
      <c r="D480" s="67" t="s">
        <v>296</v>
      </c>
      <c r="E480" s="142">
        <v>3000</v>
      </c>
      <c r="F480" s="142">
        <f>G480-E480</f>
        <v>0</v>
      </c>
      <c r="G480" s="142">
        <v>3000</v>
      </c>
      <c r="H480" s="138">
        <f t="shared" si="61"/>
        <v>100</v>
      </c>
      <c r="I480" s="380">
        <f t="shared" si="62"/>
        <v>0.009554140127388535</v>
      </c>
      <c r="J480" s="6"/>
    </row>
    <row r="481" spans="1:10" ht="14.25" customHeight="1">
      <c r="A481" s="119"/>
      <c r="B481" s="47">
        <v>412000</v>
      </c>
      <c r="C481" s="60"/>
      <c r="D481" s="133" t="s">
        <v>114</v>
      </c>
      <c r="E481" s="173">
        <f>SUM(E482:E489)</f>
        <v>60300</v>
      </c>
      <c r="F481" s="173">
        <f>SUM(F482:F489)</f>
        <v>38900</v>
      </c>
      <c r="G481" s="173">
        <f>SUM(G482:G489)</f>
        <v>99200</v>
      </c>
      <c r="H481" s="135">
        <f t="shared" si="61"/>
        <v>164.51077943615257</v>
      </c>
      <c r="I481" s="171">
        <f t="shared" si="62"/>
        <v>0.3159235668789809</v>
      </c>
      <c r="J481" s="6"/>
    </row>
    <row r="482" spans="1:10" ht="14.25" customHeight="1">
      <c r="A482" s="119" t="s">
        <v>29</v>
      </c>
      <c r="B482" s="47"/>
      <c r="C482" s="60">
        <v>412100</v>
      </c>
      <c r="D482" s="82" t="s">
        <v>383</v>
      </c>
      <c r="E482" s="144">
        <v>7000</v>
      </c>
      <c r="F482" s="144">
        <f>G482-E482</f>
        <v>2000</v>
      </c>
      <c r="G482" s="144">
        <v>9000</v>
      </c>
      <c r="H482" s="138">
        <f t="shared" si="61"/>
        <v>128.57142857142858</v>
      </c>
      <c r="I482" s="380">
        <f t="shared" si="62"/>
        <v>0.028662420382165602</v>
      </c>
      <c r="J482" s="6"/>
    </row>
    <row r="483" spans="1:10" ht="25.5">
      <c r="A483" s="119" t="s">
        <v>29</v>
      </c>
      <c r="B483" s="47"/>
      <c r="C483" s="60">
        <v>412200</v>
      </c>
      <c r="D483" s="82" t="s">
        <v>116</v>
      </c>
      <c r="E483" s="142">
        <v>20000</v>
      </c>
      <c r="F483" s="144">
        <f aca="true" t="shared" si="63" ref="F483:F489">G483-E483</f>
        <v>8000</v>
      </c>
      <c r="G483" s="142">
        <v>28000</v>
      </c>
      <c r="H483" s="138">
        <f t="shared" si="61"/>
        <v>140</v>
      </c>
      <c r="I483" s="380">
        <f t="shared" si="62"/>
        <v>0.08917197452229299</v>
      </c>
      <c r="J483" s="6"/>
    </row>
    <row r="484" spans="1:10" ht="12.75" customHeight="1">
      <c r="A484" s="119" t="s">
        <v>29</v>
      </c>
      <c r="B484" s="47"/>
      <c r="C484" s="60">
        <v>412300</v>
      </c>
      <c r="D484" s="122" t="s">
        <v>117</v>
      </c>
      <c r="E484" s="142">
        <v>2000</v>
      </c>
      <c r="F484" s="144">
        <f t="shared" si="63"/>
        <v>2000</v>
      </c>
      <c r="G484" s="142">
        <v>4000</v>
      </c>
      <c r="H484" s="138">
        <f t="shared" si="61"/>
        <v>200</v>
      </c>
      <c r="I484" s="380">
        <f t="shared" si="62"/>
        <v>0.012738853503184712</v>
      </c>
      <c r="J484" s="6"/>
    </row>
    <row r="485" spans="1:10" ht="12.75" customHeight="1">
      <c r="A485" s="119" t="s">
        <v>29</v>
      </c>
      <c r="B485" s="47"/>
      <c r="C485" s="60">
        <v>412500</v>
      </c>
      <c r="D485" s="122" t="s">
        <v>119</v>
      </c>
      <c r="E485" s="142">
        <v>3000</v>
      </c>
      <c r="F485" s="144">
        <f t="shared" si="63"/>
        <v>2000</v>
      </c>
      <c r="G485" s="142">
        <v>5000</v>
      </c>
      <c r="H485" s="138">
        <f t="shared" si="61"/>
        <v>166.66666666666669</v>
      </c>
      <c r="I485" s="380">
        <f t="shared" si="62"/>
        <v>0.01592356687898089</v>
      </c>
      <c r="J485" s="6"/>
    </row>
    <row r="486" spans="1:10" ht="12.75" customHeight="1">
      <c r="A486" s="119" t="s">
        <v>29</v>
      </c>
      <c r="B486" s="47"/>
      <c r="C486" s="60">
        <v>412600</v>
      </c>
      <c r="D486" s="122" t="s">
        <v>120</v>
      </c>
      <c r="E486" s="142">
        <v>300</v>
      </c>
      <c r="F486" s="144">
        <f t="shared" si="63"/>
        <v>-300</v>
      </c>
      <c r="G486" s="142">
        <v>0</v>
      </c>
      <c r="H486" s="138">
        <f t="shared" si="61"/>
        <v>0</v>
      </c>
      <c r="I486" s="380">
        <f t="shared" si="62"/>
        <v>0</v>
      </c>
      <c r="J486" s="6"/>
    </row>
    <row r="487" spans="1:10" ht="12.75" customHeight="1">
      <c r="A487" s="119" t="s">
        <v>29</v>
      </c>
      <c r="B487" s="47"/>
      <c r="C487" s="122">
        <v>412700</v>
      </c>
      <c r="D487" s="122" t="s">
        <v>162</v>
      </c>
      <c r="E487" s="144">
        <v>15000</v>
      </c>
      <c r="F487" s="144">
        <f t="shared" si="63"/>
        <v>5000</v>
      </c>
      <c r="G487" s="144">
        <v>20000</v>
      </c>
      <c r="H487" s="138">
        <f t="shared" si="61"/>
        <v>133.33333333333331</v>
      </c>
      <c r="I487" s="380">
        <f t="shared" si="62"/>
        <v>0.06369426751592357</v>
      </c>
      <c r="J487" s="6"/>
    </row>
    <row r="488" spans="1:10" ht="12.75" customHeight="1">
      <c r="A488" s="119" t="s">
        <v>29</v>
      </c>
      <c r="B488" s="47"/>
      <c r="C488" s="122">
        <v>412700</v>
      </c>
      <c r="D488" s="82" t="s">
        <v>586</v>
      </c>
      <c r="E488" s="144">
        <v>8000</v>
      </c>
      <c r="F488" s="144">
        <f t="shared" si="63"/>
        <v>4000</v>
      </c>
      <c r="G488" s="144">
        <v>12000</v>
      </c>
      <c r="H488" s="138">
        <f t="shared" si="61"/>
        <v>150</v>
      </c>
      <c r="I488" s="380">
        <f t="shared" si="62"/>
        <v>0.03821656050955414</v>
      </c>
      <c r="J488" s="6"/>
    </row>
    <row r="489" spans="1:10" ht="12.75" customHeight="1">
      <c r="A489" s="119" t="s">
        <v>29</v>
      </c>
      <c r="B489" s="47"/>
      <c r="C489" s="122">
        <v>412900</v>
      </c>
      <c r="D489" s="82" t="s">
        <v>123</v>
      </c>
      <c r="E489" s="304">
        <v>5000</v>
      </c>
      <c r="F489" s="144">
        <f t="shared" si="63"/>
        <v>16200</v>
      </c>
      <c r="G489" s="304">
        <v>21200</v>
      </c>
      <c r="H489" s="138">
        <f t="shared" si="61"/>
        <v>424</v>
      </c>
      <c r="I489" s="380">
        <f t="shared" si="62"/>
        <v>0.06751592356687898</v>
      </c>
      <c r="J489" s="6"/>
    </row>
    <row r="490" spans="1:10" ht="12.75" customHeight="1">
      <c r="A490" s="119"/>
      <c r="B490" s="47">
        <v>511000</v>
      </c>
      <c r="C490" s="122"/>
      <c r="D490" s="133" t="s">
        <v>132</v>
      </c>
      <c r="E490" s="173">
        <f>SUM(E491:E491)</f>
        <v>5000</v>
      </c>
      <c r="F490" s="173">
        <f>SUM(F491:F491)</f>
        <v>12000</v>
      </c>
      <c r="G490" s="173">
        <f>SUM(G491:G491)</f>
        <v>17000</v>
      </c>
      <c r="H490" s="135">
        <f t="shared" si="61"/>
        <v>340</v>
      </c>
      <c r="I490" s="171">
        <f t="shared" si="62"/>
        <v>0.054140127388535034</v>
      </c>
      <c r="J490" s="6"/>
    </row>
    <row r="491" spans="1:10" ht="12.75" customHeight="1">
      <c r="A491" s="119" t="s">
        <v>29</v>
      </c>
      <c r="B491" s="122"/>
      <c r="C491" s="60">
        <v>511300</v>
      </c>
      <c r="D491" s="82" t="s">
        <v>2</v>
      </c>
      <c r="E491" s="144">
        <v>5000</v>
      </c>
      <c r="F491" s="144">
        <f>G491-E491</f>
        <v>12000</v>
      </c>
      <c r="G491" s="144">
        <v>17000</v>
      </c>
      <c r="H491" s="138">
        <f t="shared" si="61"/>
        <v>340</v>
      </c>
      <c r="I491" s="380">
        <f t="shared" si="62"/>
        <v>0.054140127388535034</v>
      </c>
      <c r="J491" s="6"/>
    </row>
    <row r="492" spans="1:10" ht="25.5" customHeight="1">
      <c r="A492" s="119"/>
      <c r="B492" s="47">
        <v>516000</v>
      </c>
      <c r="C492" s="122"/>
      <c r="D492" s="133" t="s">
        <v>270</v>
      </c>
      <c r="E492" s="173">
        <f>SUM(E493:E493)</f>
        <v>50000</v>
      </c>
      <c r="F492" s="173">
        <f>SUM(F493:F493)</f>
        <v>0</v>
      </c>
      <c r="G492" s="173">
        <f>SUM(G493:G493)</f>
        <v>50000</v>
      </c>
      <c r="H492" s="135">
        <f t="shared" si="61"/>
        <v>100</v>
      </c>
      <c r="I492" s="171">
        <f t="shared" si="62"/>
        <v>0.15923566878980894</v>
      </c>
      <c r="J492" s="6"/>
    </row>
    <row r="493" spans="1:10" ht="15.75" customHeight="1">
      <c r="A493" s="119" t="s">
        <v>29</v>
      </c>
      <c r="B493" s="47"/>
      <c r="C493" s="122">
        <v>516100</v>
      </c>
      <c r="D493" s="82" t="s">
        <v>159</v>
      </c>
      <c r="E493" s="138">
        <v>50000</v>
      </c>
      <c r="F493" s="138">
        <f>G493-E493</f>
        <v>0</v>
      </c>
      <c r="G493" s="138">
        <v>50000</v>
      </c>
      <c r="H493" s="138">
        <f t="shared" si="61"/>
        <v>100</v>
      </c>
      <c r="I493" s="380">
        <f t="shared" si="62"/>
        <v>0.15923566878980894</v>
      </c>
      <c r="J493" s="6"/>
    </row>
    <row r="494" spans="1:10" ht="12.75">
      <c r="A494" s="119"/>
      <c r="B494" s="47">
        <v>638000</v>
      </c>
      <c r="C494" s="60"/>
      <c r="D494" s="133" t="s">
        <v>297</v>
      </c>
      <c r="E494" s="139">
        <f>SUM(E495)</f>
        <v>2000</v>
      </c>
      <c r="F494" s="139">
        <f>SUM(F495)</f>
        <v>0</v>
      </c>
      <c r="G494" s="139">
        <f>SUM(G495)</f>
        <v>2000</v>
      </c>
      <c r="H494" s="135">
        <f t="shared" si="61"/>
        <v>100</v>
      </c>
      <c r="I494" s="171">
        <f t="shared" si="62"/>
        <v>0.006369426751592356</v>
      </c>
      <c r="J494" s="6"/>
    </row>
    <row r="495" spans="1:10" ht="25.5">
      <c r="A495" s="119"/>
      <c r="B495" s="122"/>
      <c r="C495" s="60">
        <v>638100</v>
      </c>
      <c r="D495" s="82" t="s">
        <v>298</v>
      </c>
      <c r="E495" s="144">
        <v>2000</v>
      </c>
      <c r="F495" s="144">
        <f>G495-E495</f>
        <v>0</v>
      </c>
      <c r="G495" s="144">
        <v>2000</v>
      </c>
      <c r="H495" s="138">
        <f t="shared" si="61"/>
        <v>100</v>
      </c>
      <c r="I495" s="380">
        <f t="shared" si="62"/>
        <v>0.006369426751592356</v>
      </c>
      <c r="J495" s="6"/>
    </row>
    <row r="496" spans="1:10" ht="24.75" customHeight="1">
      <c r="A496" s="505"/>
      <c r="B496" s="506"/>
      <c r="C496" s="491" t="s">
        <v>86</v>
      </c>
      <c r="D496" s="496"/>
      <c r="E496" s="157">
        <f>E476+E481+E490+E492+E494</f>
        <v>428300</v>
      </c>
      <c r="F496" s="157">
        <f>F476+F481+F490+F492+F494</f>
        <v>-300</v>
      </c>
      <c r="G496" s="157">
        <f>G476+G481+G490+G492+G494</f>
        <v>428000</v>
      </c>
      <c r="H496" s="354">
        <f t="shared" si="61"/>
        <v>99.9299556385711</v>
      </c>
      <c r="I496" s="335">
        <f t="shared" si="62"/>
        <v>1.3630573248407643</v>
      </c>
      <c r="J496" s="6"/>
    </row>
    <row r="497" spans="1:10" ht="39.75" customHeight="1">
      <c r="A497" s="505"/>
      <c r="B497" s="506"/>
      <c r="C497" s="492" t="s">
        <v>495</v>
      </c>
      <c r="D497" s="493"/>
      <c r="E497" s="402"/>
      <c r="F497" s="402"/>
      <c r="G497" s="402"/>
      <c r="H497" s="228"/>
      <c r="I497" s="229"/>
      <c r="J497" s="6"/>
    </row>
    <row r="498" spans="1:10" ht="14.25" customHeight="1">
      <c r="A498" s="119"/>
      <c r="B498" s="47">
        <v>412000</v>
      </c>
      <c r="C498" s="230"/>
      <c r="D498" s="133" t="s">
        <v>114</v>
      </c>
      <c r="E498" s="173">
        <f>SUM(E499:E503)</f>
        <v>10600</v>
      </c>
      <c r="F498" s="173">
        <f>SUM(F499:F503)</f>
        <v>-512</v>
      </c>
      <c r="G498" s="173">
        <f>SUM(G499:G503)</f>
        <v>10088</v>
      </c>
      <c r="H498" s="173">
        <f aca="true" t="shared" si="64" ref="H498:H506">G498/E498*100</f>
        <v>95.16981132075472</v>
      </c>
      <c r="I498" s="174">
        <f aca="true" t="shared" si="65" ref="I498:I506">G498/$G$562*100</f>
        <v>0.032127388535031845</v>
      </c>
      <c r="J498" s="6"/>
    </row>
    <row r="499" spans="1:10" ht="24" customHeight="1">
      <c r="A499" s="119" t="s">
        <v>29</v>
      </c>
      <c r="B499" s="122"/>
      <c r="C499" s="231">
        <v>412200</v>
      </c>
      <c r="D499" s="82" t="s">
        <v>116</v>
      </c>
      <c r="E499" s="143">
        <v>3300</v>
      </c>
      <c r="F499" s="143">
        <f>G499-E499</f>
        <v>-132</v>
      </c>
      <c r="G499" s="143">
        <v>3168</v>
      </c>
      <c r="H499" s="184">
        <f t="shared" si="64"/>
        <v>96</v>
      </c>
      <c r="I499" s="172">
        <f t="shared" si="65"/>
        <v>0.010089171974522294</v>
      </c>
      <c r="J499" s="6"/>
    </row>
    <row r="500" spans="1:10" ht="12.75">
      <c r="A500" s="119" t="s">
        <v>29</v>
      </c>
      <c r="B500" s="122"/>
      <c r="C500" s="231">
        <v>412300</v>
      </c>
      <c r="D500" s="122" t="s">
        <v>117</v>
      </c>
      <c r="E500" s="141">
        <v>1800</v>
      </c>
      <c r="F500" s="143">
        <f>G500-E500</f>
        <v>-72</v>
      </c>
      <c r="G500" s="141">
        <v>1728</v>
      </c>
      <c r="H500" s="184">
        <f t="shared" si="64"/>
        <v>96</v>
      </c>
      <c r="I500" s="172">
        <f t="shared" si="65"/>
        <v>0.005503184713375796</v>
      </c>
      <c r="J500" s="6"/>
    </row>
    <row r="501" spans="1:10" ht="12.75">
      <c r="A501" s="119" t="s">
        <v>29</v>
      </c>
      <c r="B501" s="122"/>
      <c r="C501" s="231">
        <v>412500</v>
      </c>
      <c r="D501" s="122" t="s">
        <v>119</v>
      </c>
      <c r="E501" s="141">
        <v>2500</v>
      </c>
      <c r="F501" s="143">
        <f>G501-E501</f>
        <v>-208</v>
      </c>
      <c r="G501" s="141">
        <v>2292</v>
      </c>
      <c r="H501" s="184">
        <f t="shared" si="64"/>
        <v>91.67999999999999</v>
      </c>
      <c r="I501" s="172">
        <f t="shared" si="65"/>
        <v>0.007299363057324842</v>
      </c>
      <c r="J501" s="6"/>
    </row>
    <row r="502" spans="1:10" ht="12.75">
      <c r="A502" s="119" t="s">
        <v>29</v>
      </c>
      <c r="B502" s="122"/>
      <c r="C502" s="231">
        <v>412700</v>
      </c>
      <c r="D502" s="122" t="s">
        <v>121</v>
      </c>
      <c r="E502" s="143">
        <v>2000</v>
      </c>
      <c r="F502" s="143">
        <f>G502-E502</f>
        <v>0</v>
      </c>
      <c r="G502" s="143">
        <v>2000</v>
      </c>
      <c r="H502" s="184">
        <f t="shared" si="64"/>
        <v>100</v>
      </c>
      <c r="I502" s="172">
        <f t="shared" si="65"/>
        <v>0.006369426751592356</v>
      </c>
      <c r="J502" s="6"/>
    </row>
    <row r="503" spans="1:10" ht="12.75">
      <c r="A503" s="119" t="s">
        <v>29</v>
      </c>
      <c r="B503" s="122"/>
      <c r="C503" s="231">
        <v>412900</v>
      </c>
      <c r="D503" s="122" t="s">
        <v>123</v>
      </c>
      <c r="E503" s="143">
        <v>1000</v>
      </c>
      <c r="F503" s="143">
        <f>G503-E503</f>
        <v>-100</v>
      </c>
      <c r="G503" s="143">
        <v>900</v>
      </c>
      <c r="H503" s="184">
        <f t="shared" si="64"/>
        <v>90</v>
      </c>
      <c r="I503" s="172">
        <f t="shared" si="65"/>
        <v>0.0028662420382165607</v>
      </c>
      <c r="J503" s="6"/>
    </row>
    <row r="504" spans="1:10" ht="12.75">
      <c r="A504" s="119"/>
      <c r="B504" s="47">
        <v>511000</v>
      </c>
      <c r="C504" s="232"/>
      <c r="D504" s="133" t="s">
        <v>132</v>
      </c>
      <c r="E504" s="173">
        <f>SUM(E505:E505)</f>
        <v>2200</v>
      </c>
      <c r="F504" s="173">
        <f>SUM(F505:F505)</f>
        <v>0</v>
      </c>
      <c r="G504" s="173">
        <f>SUM(G505:G505)</f>
        <v>2200</v>
      </c>
      <c r="H504" s="173">
        <f t="shared" si="64"/>
        <v>100</v>
      </c>
      <c r="I504" s="174">
        <f t="shared" si="65"/>
        <v>0.0070063694267515925</v>
      </c>
      <c r="J504" s="6"/>
    </row>
    <row r="505" spans="1:10" ht="12.75">
      <c r="A505" s="119" t="s">
        <v>29</v>
      </c>
      <c r="B505" s="122"/>
      <c r="C505" s="231">
        <v>511300</v>
      </c>
      <c r="D505" s="122" t="s">
        <v>2</v>
      </c>
      <c r="E505" s="141">
        <v>2200</v>
      </c>
      <c r="F505" s="141">
        <f>G505-E505</f>
        <v>0</v>
      </c>
      <c r="G505" s="141">
        <v>2200</v>
      </c>
      <c r="H505" s="184">
        <f t="shared" si="64"/>
        <v>100</v>
      </c>
      <c r="I505" s="172">
        <f t="shared" si="65"/>
        <v>0.0070063694267515925</v>
      </c>
      <c r="J505" s="6"/>
    </row>
    <row r="506" spans="1:10" ht="30" customHeight="1">
      <c r="A506" s="505"/>
      <c r="B506" s="506"/>
      <c r="C506" s="491" t="s">
        <v>249</v>
      </c>
      <c r="D506" s="491"/>
      <c r="E506" s="49">
        <f>E498+E504</f>
        <v>12800</v>
      </c>
      <c r="F506" s="49">
        <f>F498+F504</f>
        <v>-512</v>
      </c>
      <c r="G506" s="49">
        <f>G498+G504</f>
        <v>12288</v>
      </c>
      <c r="H506" s="355">
        <f t="shared" si="64"/>
        <v>96</v>
      </c>
      <c r="I506" s="388">
        <f t="shared" si="65"/>
        <v>0.039133757961783436</v>
      </c>
      <c r="J506" s="6"/>
    </row>
    <row r="507" spans="1:10" ht="21.75" customHeight="1">
      <c r="A507" s="159"/>
      <c r="B507" s="160"/>
      <c r="C507" s="494" t="s">
        <v>496</v>
      </c>
      <c r="D507" s="495"/>
      <c r="E507" s="233"/>
      <c r="F507" s="233"/>
      <c r="G507" s="233"/>
      <c r="H507" s="161"/>
      <c r="I507" s="224"/>
      <c r="J507" s="6"/>
    </row>
    <row r="508" spans="1:10" ht="21.75" customHeight="1">
      <c r="A508" s="167"/>
      <c r="B508" s="168"/>
      <c r="C508" s="495"/>
      <c r="D508" s="495"/>
      <c r="E508" s="234"/>
      <c r="F508" s="234"/>
      <c r="G508" s="234"/>
      <c r="H508" s="169"/>
      <c r="I508" s="226"/>
      <c r="J508" s="6"/>
    </row>
    <row r="509" spans="1:10" ht="12.75">
      <c r="A509" s="407"/>
      <c r="B509" s="235" t="s">
        <v>327</v>
      </c>
      <c r="C509" s="406"/>
      <c r="D509" s="72" t="s">
        <v>299</v>
      </c>
      <c r="E509" s="135">
        <f>SUM(E510)</f>
        <v>3000</v>
      </c>
      <c r="F509" s="135">
        <f>SUM(F510)</f>
        <v>0</v>
      </c>
      <c r="G509" s="135">
        <f>SUM(G510)</f>
        <v>3000</v>
      </c>
      <c r="H509" s="135">
        <f aca="true" t="shared" si="66" ref="H509:H522">G509/E509*100</f>
        <v>100</v>
      </c>
      <c r="I509" s="171">
        <f aca="true" t="shared" si="67" ref="I509:I522">G509/$G$562*100</f>
        <v>0.009554140127388535</v>
      </c>
      <c r="J509" s="6"/>
    </row>
    <row r="510" spans="1:10" ht="25.5">
      <c r="A510" s="236" t="s">
        <v>25</v>
      </c>
      <c r="B510" s="235"/>
      <c r="C510" s="307">
        <v>411200</v>
      </c>
      <c r="D510" s="66" t="s">
        <v>300</v>
      </c>
      <c r="E510" s="142">
        <v>3000</v>
      </c>
      <c r="F510" s="142">
        <f>G510-E510</f>
        <v>0</v>
      </c>
      <c r="G510" s="142">
        <v>3000</v>
      </c>
      <c r="H510" s="138">
        <f t="shared" si="66"/>
        <v>100</v>
      </c>
      <c r="I510" s="380">
        <f t="shared" si="67"/>
        <v>0.009554140127388535</v>
      </c>
      <c r="J510" s="6"/>
    </row>
    <row r="511" spans="1:10" ht="12.75">
      <c r="A511" s="236"/>
      <c r="B511" s="235" t="s">
        <v>328</v>
      </c>
      <c r="C511" s="308"/>
      <c r="D511" s="72" t="s">
        <v>114</v>
      </c>
      <c r="E511" s="135">
        <f>SUM(E512:E518)</f>
        <v>5500</v>
      </c>
      <c r="F511" s="135">
        <f>SUM(F512:F518)</f>
        <v>1750</v>
      </c>
      <c r="G511" s="135">
        <f>SUM(G512:G518)</f>
        <v>7250</v>
      </c>
      <c r="H511" s="135">
        <f t="shared" si="66"/>
        <v>131.8181818181818</v>
      </c>
      <c r="I511" s="171">
        <f t="shared" si="67"/>
        <v>0.02308917197452229</v>
      </c>
      <c r="J511" s="6"/>
    </row>
    <row r="512" spans="1:10" ht="25.5">
      <c r="A512" s="236" t="s">
        <v>25</v>
      </c>
      <c r="B512" s="235"/>
      <c r="C512" s="307">
        <v>412200</v>
      </c>
      <c r="D512" s="82" t="s">
        <v>116</v>
      </c>
      <c r="E512" s="142">
        <v>3500</v>
      </c>
      <c r="F512" s="142">
        <f aca="true" t="shared" si="68" ref="F512:F518">G512-E512</f>
        <v>0</v>
      </c>
      <c r="G512" s="142">
        <v>3500</v>
      </c>
      <c r="H512" s="138">
        <f t="shared" si="66"/>
        <v>100</v>
      </c>
      <c r="I512" s="380">
        <f t="shared" si="67"/>
        <v>0.011146496815286623</v>
      </c>
      <c r="J512" s="6"/>
    </row>
    <row r="513" spans="1:10" ht="38.25" customHeight="1">
      <c r="A513" s="119" t="s">
        <v>25</v>
      </c>
      <c r="B513" s="47"/>
      <c r="C513" s="60">
        <v>412200</v>
      </c>
      <c r="D513" s="82" t="s">
        <v>635</v>
      </c>
      <c r="E513" s="142">
        <v>0</v>
      </c>
      <c r="F513" s="142">
        <f t="shared" si="68"/>
        <v>600</v>
      </c>
      <c r="G513" s="142">
        <v>600</v>
      </c>
      <c r="H513" s="138" t="e">
        <f t="shared" si="66"/>
        <v>#DIV/0!</v>
      </c>
      <c r="I513" s="380">
        <f t="shared" si="67"/>
        <v>0.0019108280254777072</v>
      </c>
      <c r="J513" s="6"/>
    </row>
    <row r="514" spans="1:10" ht="12.75" customHeight="1">
      <c r="A514" s="236" t="s">
        <v>25</v>
      </c>
      <c r="B514" s="235"/>
      <c r="C514" s="307">
        <v>412300</v>
      </c>
      <c r="D514" s="122" t="s">
        <v>117</v>
      </c>
      <c r="E514" s="142">
        <v>600</v>
      </c>
      <c r="F514" s="142">
        <f t="shared" si="68"/>
        <v>0</v>
      </c>
      <c r="G514" s="142">
        <v>600</v>
      </c>
      <c r="H514" s="138">
        <f t="shared" si="66"/>
        <v>100</v>
      </c>
      <c r="I514" s="380">
        <f t="shared" si="67"/>
        <v>0.0019108280254777072</v>
      </c>
      <c r="J514" s="6"/>
    </row>
    <row r="515" spans="1:10" ht="12.75" customHeight="1">
      <c r="A515" s="236" t="s">
        <v>25</v>
      </c>
      <c r="B515" s="235"/>
      <c r="C515" s="307">
        <v>412400</v>
      </c>
      <c r="D515" s="82" t="s">
        <v>118</v>
      </c>
      <c r="E515" s="142">
        <v>100</v>
      </c>
      <c r="F515" s="142">
        <f t="shared" si="68"/>
        <v>-50</v>
      </c>
      <c r="G515" s="142">
        <v>50</v>
      </c>
      <c r="H515" s="138">
        <f t="shared" si="66"/>
        <v>50</v>
      </c>
      <c r="I515" s="380">
        <f t="shared" si="67"/>
        <v>0.00015923566878980894</v>
      </c>
      <c r="J515" s="6"/>
    </row>
    <row r="516" spans="1:10" ht="12.75" customHeight="1">
      <c r="A516" s="236" t="s">
        <v>25</v>
      </c>
      <c r="B516" s="235"/>
      <c r="C516" s="307">
        <v>412700</v>
      </c>
      <c r="D516" s="122" t="s">
        <v>121</v>
      </c>
      <c r="E516" s="142">
        <v>800</v>
      </c>
      <c r="F516" s="142">
        <f t="shared" si="68"/>
        <v>0</v>
      </c>
      <c r="G516" s="142">
        <v>800</v>
      </c>
      <c r="H516" s="138">
        <f t="shared" si="66"/>
        <v>100</v>
      </c>
      <c r="I516" s="380">
        <f t="shared" si="67"/>
        <v>0.002547770700636943</v>
      </c>
      <c r="J516" s="6"/>
    </row>
    <row r="517" spans="1:10" ht="12.75" customHeight="1">
      <c r="A517" s="236" t="s">
        <v>25</v>
      </c>
      <c r="B517" s="235"/>
      <c r="C517" s="307">
        <v>412900</v>
      </c>
      <c r="D517" s="122" t="s">
        <v>123</v>
      </c>
      <c r="E517" s="138">
        <v>500</v>
      </c>
      <c r="F517" s="142">
        <f t="shared" si="68"/>
        <v>450</v>
      </c>
      <c r="G517" s="138">
        <v>950</v>
      </c>
      <c r="H517" s="138">
        <f t="shared" si="66"/>
        <v>190</v>
      </c>
      <c r="I517" s="380">
        <f t="shared" si="67"/>
        <v>0.003025477707006369</v>
      </c>
      <c r="J517" s="6"/>
    </row>
    <row r="518" spans="1:10" ht="12.75" customHeight="1">
      <c r="A518" s="236" t="s">
        <v>25</v>
      </c>
      <c r="B518" s="235"/>
      <c r="C518" s="307">
        <v>412900</v>
      </c>
      <c r="D518" s="122" t="s">
        <v>520</v>
      </c>
      <c r="E518" s="138">
        <v>0</v>
      </c>
      <c r="F518" s="142">
        <f t="shared" si="68"/>
        <v>750</v>
      </c>
      <c r="G518" s="138">
        <v>750</v>
      </c>
      <c r="H518" s="138" t="e">
        <f t="shared" si="66"/>
        <v>#DIV/0!</v>
      </c>
      <c r="I518" s="380">
        <f t="shared" si="67"/>
        <v>0.0023885350318471337</v>
      </c>
      <c r="J518" s="6"/>
    </row>
    <row r="519" spans="1:10" ht="12.75" customHeight="1">
      <c r="A519" s="238"/>
      <c r="B519" s="47">
        <v>511000</v>
      </c>
      <c r="C519" s="122"/>
      <c r="D519" s="133" t="s">
        <v>132</v>
      </c>
      <c r="E519" s="135">
        <f>SUM(E520:E521)</f>
        <v>1500</v>
      </c>
      <c r="F519" s="135">
        <f>SUM(F520:F521)</f>
        <v>-350</v>
      </c>
      <c r="G519" s="135">
        <f>SUM(G520:G521)</f>
        <v>1150</v>
      </c>
      <c r="H519" s="135">
        <f t="shared" si="66"/>
        <v>76.66666666666667</v>
      </c>
      <c r="I519" s="171">
        <f t="shared" si="67"/>
        <v>0.003662420382165605</v>
      </c>
      <c r="J519" s="6"/>
    </row>
    <row r="520" spans="1:10" ht="12.75" customHeight="1">
      <c r="A520" s="238" t="s">
        <v>25</v>
      </c>
      <c r="B520" s="235"/>
      <c r="C520" s="60">
        <v>511300</v>
      </c>
      <c r="D520" s="122" t="s">
        <v>503</v>
      </c>
      <c r="E520" s="185">
        <v>1500</v>
      </c>
      <c r="F520" s="185">
        <f>G520-E520</f>
        <v>-350</v>
      </c>
      <c r="G520" s="185">
        <v>1150</v>
      </c>
      <c r="H520" s="138">
        <f t="shared" si="66"/>
        <v>76.66666666666667</v>
      </c>
      <c r="I520" s="380">
        <f t="shared" si="67"/>
        <v>0.003662420382165605</v>
      </c>
      <c r="J520" s="6"/>
    </row>
    <row r="521" spans="1:10" ht="14.25" customHeight="1" hidden="1">
      <c r="A521" s="238" t="s">
        <v>25</v>
      </c>
      <c r="B521" s="235"/>
      <c r="C521" s="60">
        <v>511300</v>
      </c>
      <c r="D521" s="82" t="s">
        <v>427</v>
      </c>
      <c r="E521" s="138">
        <v>0</v>
      </c>
      <c r="F521" s="138"/>
      <c r="G521" s="138">
        <v>0</v>
      </c>
      <c r="H521" s="135" t="e">
        <f t="shared" si="66"/>
        <v>#DIV/0!</v>
      </c>
      <c r="I521" s="171">
        <f t="shared" si="67"/>
        <v>0</v>
      </c>
      <c r="J521" s="6"/>
    </row>
    <row r="522" spans="1:10" ht="24.75" customHeight="1">
      <c r="A522" s="511"/>
      <c r="B522" s="512"/>
      <c r="C522" s="491" t="s">
        <v>329</v>
      </c>
      <c r="D522" s="496"/>
      <c r="E522" s="219">
        <f>E509+E511+E519</f>
        <v>10000</v>
      </c>
      <c r="F522" s="219">
        <f>F509+F511+F519</f>
        <v>1400</v>
      </c>
      <c r="G522" s="219">
        <f>G509+G511+G519</f>
        <v>11400</v>
      </c>
      <c r="H522" s="354">
        <f t="shared" si="66"/>
        <v>113.99999999999999</v>
      </c>
      <c r="I522" s="335">
        <f t="shared" si="67"/>
        <v>0.03630573248407643</v>
      </c>
      <c r="J522" s="6"/>
    </row>
    <row r="523" spans="1:10" ht="19.5" customHeight="1">
      <c r="A523" s="509"/>
      <c r="B523" s="510"/>
      <c r="C523" s="494" t="s">
        <v>497</v>
      </c>
      <c r="D523" s="504"/>
      <c r="E523" s="148"/>
      <c r="F523" s="148"/>
      <c r="G523" s="148"/>
      <c r="H523" s="148"/>
      <c r="I523" s="149"/>
      <c r="J523" s="6"/>
    </row>
    <row r="524" spans="1:10" ht="21" customHeight="1">
      <c r="A524" s="509"/>
      <c r="B524" s="510"/>
      <c r="C524" s="504"/>
      <c r="D524" s="504"/>
      <c r="E524" s="152"/>
      <c r="F524" s="152"/>
      <c r="G524" s="152"/>
      <c r="H524" s="152"/>
      <c r="I524" s="153"/>
      <c r="J524" s="6"/>
    </row>
    <row r="525" spans="1:10" ht="14.25" customHeight="1">
      <c r="A525" s="212"/>
      <c r="B525" s="47">
        <v>412000</v>
      </c>
      <c r="C525" s="60"/>
      <c r="D525" s="133" t="s">
        <v>114</v>
      </c>
      <c r="E525" s="135">
        <f>SUM(E526:E526)</f>
        <v>1000</v>
      </c>
      <c r="F525" s="135">
        <f>SUM(F526:F526)</f>
        <v>5000</v>
      </c>
      <c r="G525" s="135">
        <f>SUM(G526:G526)</f>
        <v>6000</v>
      </c>
      <c r="H525" s="135">
        <f aca="true" t="shared" si="69" ref="H525:H557">G525/E525*100</f>
        <v>600</v>
      </c>
      <c r="I525" s="171">
        <f aca="true" t="shared" si="70" ref="I525:I557">G525/$G$562*100</f>
        <v>0.01910828025477707</v>
      </c>
      <c r="J525" s="6"/>
    </row>
    <row r="526" spans="1:10" ht="25.5" customHeight="1">
      <c r="A526" s="119" t="s">
        <v>21</v>
      </c>
      <c r="B526" s="47"/>
      <c r="C526" s="82">
        <v>412900</v>
      </c>
      <c r="D526" s="87" t="s">
        <v>340</v>
      </c>
      <c r="E526" s="186">
        <v>1000</v>
      </c>
      <c r="F526" s="186">
        <f>G526-E526</f>
        <v>5000</v>
      </c>
      <c r="G526" s="186">
        <v>6000</v>
      </c>
      <c r="H526" s="138">
        <f t="shared" si="69"/>
        <v>600</v>
      </c>
      <c r="I526" s="380">
        <f t="shared" si="70"/>
        <v>0.01910828025477707</v>
      </c>
      <c r="J526" s="6"/>
    </row>
    <row r="527" spans="1:10" ht="12.75">
      <c r="A527" s="119"/>
      <c r="B527" s="47">
        <v>413000</v>
      </c>
      <c r="C527" s="82"/>
      <c r="D527" s="133" t="s">
        <v>124</v>
      </c>
      <c r="E527" s="173">
        <f>E528+E531</f>
        <v>335000</v>
      </c>
      <c r="F527" s="173">
        <f>F528+F531</f>
        <v>-80000</v>
      </c>
      <c r="G527" s="173">
        <f>G528+G531</f>
        <v>255000</v>
      </c>
      <c r="H527" s="135">
        <f t="shared" si="69"/>
        <v>76.11940298507463</v>
      </c>
      <c r="I527" s="171">
        <f t="shared" si="70"/>
        <v>0.8121019108280255</v>
      </c>
      <c r="J527" s="6"/>
    </row>
    <row r="528" spans="1:10" ht="12.75">
      <c r="A528" s="119"/>
      <c r="B528" s="47"/>
      <c r="C528" s="133"/>
      <c r="D528" s="133" t="s">
        <v>125</v>
      </c>
      <c r="E528" s="199">
        <f>SUM(E529:E530)</f>
        <v>285000</v>
      </c>
      <c r="F528" s="199">
        <f>SUM(F529:F530)</f>
        <v>-160000</v>
      </c>
      <c r="G528" s="199">
        <f>SUM(G529:G530)</f>
        <v>125000</v>
      </c>
      <c r="H528" s="200">
        <f t="shared" si="69"/>
        <v>43.859649122807014</v>
      </c>
      <c r="I528" s="384">
        <f t="shared" si="70"/>
        <v>0.3980891719745223</v>
      </c>
      <c r="J528" s="6"/>
    </row>
    <row r="529" spans="1:10" ht="12.75" customHeight="1">
      <c r="A529" s="119" t="s">
        <v>52</v>
      </c>
      <c r="B529" s="122"/>
      <c r="C529" s="71">
        <v>413300</v>
      </c>
      <c r="D529" s="82" t="s">
        <v>341</v>
      </c>
      <c r="E529" s="186">
        <v>125000</v>
      </c>
      <c r="F529" s="186">
        <f>G529-E529</f>
        <v>0</v>
      </c>
      <c r="G529" s="186">
        <v>125000</v>
      </c>
      <c r="H529" s="138">
        <f t="shared" si="69"/>
        <v>100</v>
      </c>
      <c r="I529" s="380">
        <f t="shared" si="70"/>
        <v>0.3980891719745223</v>
      </c>
      <c r="J529" s="9"/>
    </row>
    <row r="530" spans="1:10" ht="14.25" customHeight="1">
      <c r="A530" s="119" t="s">
        <v>52</v>
      </c>
      <c r="B530" s="122"/>
      <c r="C530" s="71">
        <v>413300</v>
      </c>
      <c r="D530" s="82" t="s">
        <v>540</v>
      </c>
      <c r="E530" s="186">
        <v>160000</v>
      </c>
      <c r="F530" s="186">
        <f>G530-E530</f>
        <v>-160000</v>
      </c>
      <c r="G530" s="186">
        <v>0</v>
      </c>
      <c r="H530" s="138">
        <f t="shared" si="69"/>
        <v>0</v>
      </c>
      <c r="I530" s="380">
        <f t="shared" si="70"/>
        <v>0</v>
      </c>
      <c r="J530" s="315"/>
    </row>
    <row r="531" spans="1:10" ht="12" customHeight="1">
      <c r="A531" s="119"/>
      <c r="B531" s="122"/>
      <c r="C531" s="71"/>
      <c r="D531" s="133" t="s">
        <v>409</v>
      </c>
      <c r="E531" s="57">
        <f>SUM(E532:E532)</f>
        <v>50000</v>
      </c>
      <c r="F531" s="57">
        <f>SUM(F532:F532)</f>
        <v>80000</v>
      </c>
      <c r="G531" s="57">
        <f>SUM(G532:G532)</f>
        <v>130000</v>
      </c>
      <c r="H531" s="200">
        <f t="shared" si="69"/>
        <v>260</v>
      </c>
      <c r="I531" s="384">
        <f t="shared" si="70"/>
        <v>0.4140127388535032</v>
      </c>
      <c r="J531" s="315"/>
    </row>
    <row r="532" spans="1:10" ht="14.25" customHeight="1">
      <c r="A532" s="119" t="s">
        <v>52</v>
      </c>
      <c r="B532" s="122"/>
      <c r="C532" s="71">
        <v>413700</v>
      </c>
      <c r="D532" s="316" t="s">
        <v>511</v>
      </c>
      <c r="E532" s="317">
        <v>50000</v>
      </c>
      <c r="F532" s="317">
        <f>G532-E532</f>
        <v>80000</v>
      </c>
      <c r="G532" s="317">
        <v>130000</v>
      </c>
      <c r="H532" s="138">
        <f t="shared" si="69"/>
        <v>260</v>
      </c>
      <c r="I532" s="380">
        <f t="shared" si="70"/>
        <v>0.4140127388535032</v>
      </c>
      <c r="J532" s="6"/>
    </row>
    <row r="533" spans="1:10" ht="24.75" customHeight="1">
      <c r="A533" s="119"/>
      <c r="B533" s="47">
        <v>418000</v>
      </c>
      <c r="C533" s="60"/>
      <c r="D533" s="133" t="s">
        <v>362</v>
      </c>
      <c r="E533" s="135">
        <f aca="true" t="shared" si="71" ref="E533:G534">SUM(E534)</f>
        <v>3400</v>
      </c>
      <c r="F533" s="135">
        <f t="shared" si="71"/>
        <v>0</v>
      </c>
      <c r="G533" s="135">
        <f t="shared" si="71"/>
        <v>3400</v>
      </c>
      <c r="H533" s="135">
        <f t="shared" si="69"/>
        <v>100</v>
      </c>
      <c r="I533" s="171">
        <f t="shared" si="70"/>
        <v>0.010828025477707006</v>
      </c>
      <c r="J533" s="6"/>
    </row>
    <row r="534" spans="1:10" ht="24.75" customHeight="1">
      <c r="A534" s="119"/>
      <c r="B534" s="47"/>
      <c r="C534" s="60"/>
      <c r="D534" s="133" t="s">
        <v>365</v>
      </c>
      <c r="E534" s="199">
        <f t="shared" si="71"/>
        <v>3400</v>
      </c>
      <c r="F534" s="199">
        <f t="shared" si="71"/>
        <v>0</v>
      </c>
      <c r="G534" s="199">
        <f t="shared" si="71"/>
        <v>3400</v>
      </c>
      <c r="H534" s="200">
        <f t="shared" si="69"/>
        <v>100</v>
      </c>
      <c r="I534" s="384">
        <f t="shared" si="70"/>
        <v>0.010828025477707006</v>
      </c>
      <c r="J534" s="6"/>
    </row>
    <row r="535" spans="1:10" ht="12.75" customHeight="1">
      <c r="A535" s="119" t="s">
        <v>52</v>
      </c>
      <c r="B535" s="122"/>
      <c r="C535" s="60">
        <v>418100</v>
      </c>
      <c r="D535" s="82" t="s">
        <v>198</v>
      </c>
      <c r="E535" s="144">
        <v>3400</v>
      </c>
      <c r="F535" s="144">
        <f>G535-E535</f>
        <v>0</v>
      </c>
      <c r="G535" s="144">
        <v>3400</v>
      </c>
      <c r="H535" s="138">
        <f t="shared" si="69"/>
        <v>100</v>
      </c>
      <c r="I535" s="380">
        <f t="shared" si="70"/>
        <v>0.010828025477707006</v>
      </c>
      <c r="J535" s="6"/>
    </row>
    <row r="536" spans="1:10" ht="15.75" customHeight="1">
      <c r="A536" s="119"/>
      <c r="B536" s="47">
        <v>487000</v>
      </c>
      <c r="C536" s="60"/>
      <c r="D536" s="133" t="s">
        <v>315</v>
      </c>
      <c r="E536" s="173">
        <f>E537+E541</f>
        <v>15500</v>
      </c>
      <c r="F536" s="173">
        <f>F537+F541</f>
        <v>11500</v>
      </c>
      <c r="G536" s="173">
        <f>G537+G541</f>
        <v>27000</v>
      </c>
      <c r="H536" s="135">
        <f t="shared" si="69"/>
        <v>174.19354838709677</v>
      </c>
      <c r="I536" s="171">
        <f t="shared" si="70"/>
        <v>0.08598726114649682</v>
      </c>
      <c r="J536" s="6"/>
    </row>
    <row r="537" spans="1:10" ht="25.5" customHeight="1">
      <c r="A537" s="119"/>
      <c r="B537" s="47"/>
      <c r="C537" s="60"/>
      <c r="D537" s="86" t="s">
        <v>652</v>
      </c>
      <c r="E537" s="199">
        <f>SUM(E538:E540)</f>
        <v>12000</v>
      </c>
      <c r="F537" s="199">
        <f>SUM(F538:F540)</f>
        <v>5000</v>
      </c>
      <c r="G537" s="199">
        <f>SUM(G538:G540)</f>
        <v>17000</v>
      </c>
      <c r="H537" s="200">
        <f t="shared" si="69"/>
        <v>141.66666666666669</v>
      </c>
      <c r="I537" s="384">
        <f t="shared" si="70"/>
        <v>0.054140127388535034</v>
      </c>
      <c r="J537" s="6"/>
    </row>
    <row r="538" spans="1:10" ht="12.75">
      <c r="A538" s="119" t="s">
        <v>32</v>
      </c>
      <c r="B538" s="122"/>
      <c r="C538" s="60">
        <v>487200</v>
      </c>
      <c r="D538" s="82" t="s">
        <v>325</v>
      </c>
      <c r="E538" s="142">
        <v>6000</v>
      </c>
      <c r="F538" s="142">
        <f>G538-E538</f>
        <v>0</v>
      </c>
      <c r="G538" s="142">
        <v>6000</v>
      </c>
      <c r="H538" s="138">
        <f t="shared" si="69"/>
        <v>100</v>
      </c>
      <c r="I538" s="380">
        <f t="shared" si="70"/>
        <v>0.01910828025477707</v>
      </c>
      <c r="J538" s="6"/>
    </row>
    <row r="539" spans="1:10" ht="12.75">
      <c r="A539" s="119" t="s">
        <v>32</v>
      </c>
      <c r="B539" s="122"/>
      <c r="C539" s="60">
        <v>487300</v>
      </c>
      <c r="D539" s="82" t="s">
        <v>322</v>
      </c>
      <c r="E539" s="142">
        <v>3000</v>
      </c>
      <c r="F539" s="142">
        <f>G539-E539</f>
        <v>2000</v>
      </c>
      <c r="G539" s="142">
        <v>5000</v>
      </c>
      <c r="H539" s="138">
        <f t="shared" si="69"/>
        <v>166.66666666666669</v>
      </c>
      <c r="I539" s="380">
        <f t="shared" si="70"/>
        <v>0.01592356687898089</v>
      </c>
      <c r="J539" s="6"/>
    </row>
    <row r="540" spans="1:10" ht="12.75" customHeight="1">
      <c r="A540" s="119" t="s">
        <v>32</v>
      </c>
      <c r="B540" s="122"/>
      <c r="C540" s="60">
        <v>487400</v>
      </c>
      <c r="D540" s="82" t="s">
        <v>302</v>
      </c>
      <c r="E540" s="142">
        <v>3000</v>
      </c>
      <c r="F540" s="142">
        <f>G540-E540</f>
        <v>3000</v>
      </c>
      <c r="G540" s="142">
        <v>6000</v>
      </c>
      <c r="H540" s="138">
        <f t="shared" si="69"/>
        <v>200</v>
      </c>
      <c r="I540" s="380">
        <f t="shared" si="70"/>
        <v>0.01910828025477707</v>
      </c>
      <c r="J540" s="6"/>
    </row>
    <row r="541" spans="1:10" ht="12.75">
      <c r="A541" s="119"/>
      <c r="B541" s="122"/>
      <c r="C541" s="60"/>
      <c r="D541" s="133" t="s">
        <v>314</v>
      </c>
      <c r="E541" s="200">
        <f>SUM(E542)</f>
        <v>3500</v>
      </c>
      <c r="F541" s="200">
        <f>SUM(F542)</f>
        <v>6500</v>
      </c>
      <c r="G541" s="200">
        <f>SUM(G542)</f>
        <v>10000</v>
      </c>
      <c r="H541" s="200">
        <f t="shared" si="69"/>
        <v>285.7142857142857</v>
      </c>
      <c r="I541" s="384">
        <f t="shared" si="70"/>
        <v>0.03184713375796178</v>
      </c>
      <c r="J541" s="6"/>
    </row>
    <row r="542" spans="1:10" ht="24" customHeight="1">
      <c r="A542" s="119" t="s">
        <v>32</v>
      </c>
      <c r="B542" s="122"/>
      <c r="C542" s="60">
        <v>487900</v>
      </c>
      <c r="D542" s="82" t="s">
        <v>361</v>
      </c>
      <c r="E542" s="144">
        <v>3500</v>
      </c>
      <c r="F542" s="144">
        <f>G542-E542</f>
        <v>6500</v>
      </c>
      <c r="G542" s="144">
        <v>10000</v>
      </c>
      <c r="H542" s="138">
        <f t="shared" si="69"/>
        <v>285.7142857142857</v>
      </c>
      <c r="I542" s="380">
        <f t="shared" si="70"/>
        <v>0.03184713375796178</v>
      </c>
      <c r="J542" s="6"/>
    </row>
    <row r="543" spans="1:10" ht="13.5" customHeight="1">
      <c r="A543" s="119"/>
      <c r="B543" s="84">
        <v>621000</v>
      </c>
      <c r="C543" s="60"/>
      <c r="D543" s="133" t="s">
        <v>136</v>
      </c>
      <c r="E543" s="139">
        <f>E544+E547</f>
        <v>1632000</v>
      </c>
      <c r="F543" s="139">
        <f>F544+F547</f>
        <v>-607000</v>
      </c>
      <c r="G543" s="139">
        <f>G544+G547</f>
        <v>1025000</v>
      </c>
      <c r="H543" s="135">
        <f t="shared" si="69"/>
        <v>62.806372549019606</v>
      </c>
      <c r="I543" s="171">
        <f t="shared" si="70"/>
        <v>3.2643312101910826</v>
      </c>
      <c r="J543" s="6"/>
    </row>
    <row r="544" spans="1:10" ht="12.75">
      <c r="A544" s="119"/>
      <c r="B544" s="84"/>
      <c r="C544" s="60"/>
      <c r="D544" s="133" t="s">
        <v>142</v>
      </c>
      <c r="E544" s="199">
        <f>SUM(E545:E546)</f>
        <v>1547000</v>
      </c>
      <c r="F544" s="199">
        <f>SUM(F545:F546)</f>
        <v>-607000</v>
      </c>
      <c r="G544" s="199">
        <f>SUM(G545:G546)</f>
        <v>940000</v>
      </c>
      <c r="H544" s="200">
        <f t="shared" si="69"/>
        <v>60.762766645119584</v>
      </c>
      <c r="I544" s="384">
        <f t="shared" si="70"/>
        <v>2.993630573248408</v>
      </c>
      <c r="J544" s="6"/>
    </row>
    <row r="545" spans="1:11" ht="14.25" customHeight="1">
      <c r="A545" s="119"/>
      <c r="B545" s="47"/>
      <c r="C545" s="90">
        <v>621300</v>
      </c>
      <c r="D545" s="87" t="s">
        <v>342</v>
      </c>
      <c r="E545" s="186">
        <v>940000</v>
      </c>
      <c r="F545" s="186">
        <f>G545-E545</f>
        <v>0</v>
      </c>
      <c r="G545" s="186">
        <v>940000</v>
      </c>
      <c r="H545" s="138">
        <f t="shared" si="69"/>
        <v>100</v>
      </c>
      <c r="I545" s="380">
        <f t="shared" si="70"/>
        <v>2.993630573248408</v>
      </c>
      <c r="J545" s="410"/>
      <c r="K545" s="1"/>
    </row>
    <row r="546" spans="1:11" ht="15" customHeight="1">
      <c r="A546" s="119"/>
      <c r="B546" s="47"/>
      <c r="C546" s="90">
        <v>621300</v>
      </c>
      <c r="D546" s="87" t="s">
        <v>541</v>
      </c>
      <c r="E546" s="186">
        <v>607000</v>
      </c>
      <c r="F546" s="186">
        <f>G546-E546</f>
        <v>-607000</v>
      </c>
      <c r="G546" s="186">
        <v>0</v>
      </c>
      <c r="H546" s="138">
        <f t="shared" si="69"/>
        <v>0</v>
      </c>
      <c r="I546" s="380">
        <f t="shared" si="70"/>
        <v>0</v>
      </c>
      <c r="J546" s="410"/>
      <c r="K546" s="1"/>
    </row>
    <row r="547" spans="1:10" ht="12.75">
      <c r="A547" s="119"/>
      <c r="B547" s="47"/>
      <c r="C547" s="90"/>
      <c r="D547" s="86" t="s">
        <v>269</v>
      </c>
      <c r="E547" s="240">
        <f>E548</f>
        <v>85000</v>
      </c>
      <c r="F547" s="240">
        <f>F548</f>
        <v>0</v>
      </c>
      <c r="G547" s="240">
        <f>G548</f>
        <v>85000</v>
      </c>
      <c r="H547" s="200">
        <f t="shared" si="69"/>
        <v>100</v>
      </c>
      <c r="I547" s="384">
        <f t="shared" si="70"/>
        <v>0.27070063694267515</v>
      </c>
      <c r="J547" s="410"/>
    </row>
    <row r="548" spans="1:10" ht="14.25" customHeight="1">
      <c r="A548" s="119"/>
      <c r="B548" s="47"/>
      <c r="C548" s="90">
        <v>621900</v>
      </c>
      <c r="D548" s="87" t="s">
        <v>274</v>
      </c>
      <c r="E548" s="144">
        <v>85000</v>
      </c>
      <c r="F548" s="144">
        <f>G548-E548</f>
        <v>0</v>
      </c>
      <c r="G548" s="144">
        <v>85000</v>
      </c>
      <c r="H548" s="138">
        <f t="shared" si="69"/>
        <v>100</v>
      </c>
      <c r="I548" s="380">
        <f t="shared" si="70"/>
        <v>0.27070063694267515</v>
      </c>
      <c r="J548" s="6"/>
    </row>
    <row r="549" spans="1:10" ht="25.5">
      <c r="A549" s="119"/>
      <c r="B549" s="47">
        <v>628000</v>
      </c>
      <c r="C549" s="90"/>
      <c r="D549" s="86" t="s">
        <v>363</v>
      </c>
      <c r="E549" s="139">
        <f aca="true" t="shared" si="72" ref="E549:G550">SUM(E550)</f>
        <v>180000</v>
      </c>
      <c r="F549" s="139">
        <f t="shared" si="72"/>
        <v>0</v>
      </c>
      <c r="G549" s="139">
        <f t="shared" si="72"/>
        <v>180000</v>
      </c>
      <c r="H549" s="135">
        <f t="shared" si="69"/>
        <v>100</v>
      </c>
      <c r="I549" s="171">
        <f t="shared" si="70"/>
        <v>0.5732484076433121</v>
      </c>
      <c r="J549" s="6"/>
    </row>
    <row r="550" spans="1:10" ht="25.5">
      <c r="A550" s="119"/>
      <c r="B550" s="47"/>
      <c r="C550" s="90"/>
      <c r="D550" s="86" t="s">
        <v>364</v>
      </c>
      <c r="E550" s="199">
        <f t="shared" si="72"/>
        <v>180000</v>
      </c>
      <c r="F550" s="199">
        <f t="shared" si="72"/>
        <v>0</v>
      </c>
      <c r="G550" s="199">
        <f t="shared" si="72"/>
        <v>180000</v>
      </c>
      <c r="H550" s="200">
        <f t="shared" si="69"/>
        <v>100</v>
      </c>
      <c r="I550" s="384">
        <f t="shared" si="70"/>
        <v>0.5732484076433121</v>
      </c>
      <c r="J550" s="6"/>
    </row>
    <row r="551" spans="1:10" ht="12" customHeight="1">
      <c r="A551" s="119"/>
      <c r="B551" s="47"/>
      <c r="C551" s="90">
        <v>628100</v>
      </c>
      <c r="D551" s="87" t="s">
        <v>323</v>
      </c>
      <c r="E551" s="144">
        <v>180000</v>
      </c>
      <c r="F551" s="144">
        <f>G551-E551</f>
        <v>0</v>
      </c>
      <c r="G551" s="144">
        <v>180000</v>
      </c>
      <c r="H551" s="138">
        <f t="shared" si="69"/>
        <v>100</v>
      </c>
      <c r="I551" s="380">
        <f t="shared" si="70"/>
        <v>0.5732484076433121</v>
      </c>
      <c r="J551" s="6"/>
    </row>
    <row r="552" spans="1:10" ht="12.75">
      <c r="A552" s="119"/>
      <c r="B552" s="84">
        <v>631000</v>
      </c>
      <c r="C552" s="90"/>
      <c r="D552" s="133" t="s">
        <v>292</v>
      </c>
      <c r="E552" s="139">
        <f>SUM(E553:E554)</f>
        <v>44600</v>
      </c>
      <c r="F552" s="139">
        <f>SUM(F553:F554)</f>
        <v>213000</v>
      </c>
      <c r="G552" s="139">
        <f>SUM(G553:G554)</f>
        <v>257600</v>
      </c>
      <c r="H552" s="135">
        <f t="shared" si="69"/>
        <v>577.5784753363229</v>
      </c>
      <c r="I552" s="171">
        <f t="shared" si="70"/>
        <v>0.8203821656050955</v>
      </c>
      <c r="J552" s="309"/>
    </row>
    <row r="553" spans="1:10" ht="12.75">
      <c r="A553" s="119"/>
      <c r="B553" s="84"/>
      <c r="C553" s="90">
        <v>631300</v>
      </c>
      <c r="D553" s="82" t="s">
        <v>388</v>
      </c>
      <c r="E553" s="144">
        <v>39600</v>
      </c>
      <c r="F553" s="144">
        <f>G553-E553</f>
        <v>199400</v>
      </c>
      <c r="G553" s="144">
        <v>239000</v>
      </c>
      <c r="H553" s="138">
        <f t="shared" si="69"/>
        <v>603.5353535353536</v>
      </c>
      <c r="I553" s="380">
        <f t="shared" si="70"/>
        <v>0.7611464968152866</v>
      </c>
      <c r="J553" s="310"/>
    </row>
    <row r="554" spans="1:10" ht="25.5">
      <c r="A554" s="119"/>
      <c r="B554" s="84"/>
      <c r="C554" s="90">
        <v>631900</v>
      </c>
      <c r="D554" s="82" t="s">
        <v>334</v>
      </c>
      <c r="E554" s="186">
        <v>5000</v>
      </c>
      <c r="F554" s="144">
        <f>G554-E554</f>
        <v>13600</v>
      </c>
      <c r="G554" s="186">
        <f>12000+6600</f>
        <v>18600</v>
      </c>
      <c r="H554" s="138">
        <f t="shared" si="69"/>
        <v>372</v>
      </c>
      <c r="I554" s="380">
        <f t="shared" si="70"/>
        <v>0.05923566878980891</v>
      </c>
      <c r="J554" s="310"/>
    </row>
    <row r="555" spans="1:10" ht="14.25" customHeight="1">
      <c r="A555" s="119"/>
      <c r="B555" s="47">
        <v>638000</v>
      </c>
      <c r="C555" s="90"/>
      <c r="D555" s="86" t="s">
        <v>324</v>
      </c>
      <c r="E555" s="139">
        <f>E556</f>
        <v>4500</v>
      </c>
      <c r="F555" s="139">
        <f>F556</f>
        <v>23657.09</v>
      </c>
      <c r="G555" s="139">
        <f>G556</f>
        <v>28157.09</v>
      </c>
      <c r="H555" s="135">
        <f t="shared" si="69"/>
        <v>625.7131111111111</v>
      </c>
      <c r="I555" s="171">
        <f t="shared" si="70"/>
        <v>0.08967226114649682</v>
      </c>
      <c r="J555" s="311"/>
    </row>
    <row r="556" spans="1:10" ht="24.75" customHeight="1">
      <c r="A556" s="119"/>
      <c r="B556" s="47"/>
      <c r="C556" s="90">
        <v>638100</v>
      </c>
      <c r="D556" s="87" t="s">
        <v>333</v>
      </c>
      <c r="E556" s="144">
        <v>4500</v>
      </c>
      <c r="F556" s="144">
        <f>G556-E556</f>
        <v>23657.09</v>
      </c>
      <c r="G556" s="144">
        <v>28157.09</v>
      </c>
      <c r="H556" s="138">
        <f t="shared" si="69"/>
        <v>625.7131111111111</v>
      </c>
      <c r="I556" s="380">
        <f t="shared" si="70"/>
        <v>0.08967226114649682</v>
      </c>
      <c r="J556" s="6"/>
    </row>
    <row r="557" spans="1:10" ht="27.75" customHeight="1">
      <c r="A557" s="513"/>
      <c r="B557" s="514"/>
      <c r="C557" s="491" t="s">
        <v>192</v>
      </c>
      <c r="D557" s="491"/>
      <c r="E557" s="157">
        <f>E525+E527+E533+E536+E543+E549+E552+E555</f>
        <v>2216000</v>
      </c>
      <c r="F557" s="157">
        <f>F525+F527+F533+F536+F543+F549+F552+F555</f>
        <v>-433842.91</v>
      </c>
      <c r="G557" s="157">
        <f>G525+G527+G533+G536+G543+G549+G552+G555</f>
        <v>1782157.09</v>
      </c>
      <c r="H557" s="354">
        <f t="shared" si="69"/>
        <v>80.42225135379061</v>
      </c>
      <c r="I557" s="335">
        <f t="shared" si="70"/>
        <v>5.675659522292994</v>
      </c>
      <c r="J557" s="6"/>
    </row>
    <row r="558" spans="1:10" ht="19.5" customHeight="1">
      <c r="A558" s="505"/>
      <c r="B558" s="506"/>
      <c r="C558" s="494" t="s">
        <v>498</v>
      </c>
      <c r="D558" s="504"/>
      <c r="E558" s="176"/>
      <c r="F558" s="176"/>
      <c r="G558" s="176"/>
      <c r="H558" s="176"/>
      <c r="I558" s="177"/>
      <c r="J558" s="410"/>
    </row>
    <row r="559" spans="1:10" ht="8.25" customHeight="1">
      <c r="A559" s="505"/>
      <c r="B559" s="506"/>
      <c r="C559" s="504"/>
      <c r="D559" s="504"/>
      <c r="E559" s="241"/>
      <c r="F559" s="241"/>
      <c r="G559" s="241"/>
      <c r="H559" s="241"/>
      <c r="I559" s="242"/>
      <c r="J559" s="6"/>
    </row>
    <row r="560" spans="1:10" ht="12.75" customHeight="1">
      <c r="A560" s="505"/>
      <c r="B560" s="506"/>
      <c r="C560" s="243" t="s">
        <v>181</v>
      </c>
      <c r="D560" s="69" t="s">
        <v>90</v>
      </c>
      <c r="E560" s="237">
        <v>210000</v>
      </c>
      <c r="F560" s="237">
        <f>G560-E560</f>
        <v>-180000</v>
      </c>
      <c r="G560" s="237">
        <v>30000</v>
      </c>
      <c r="H560" s="142">
        <f>G560/E560*100</f>
        <v>14.285714285714285</v>
      </c>
      <c r="I560" s="244">
        <f>G560/G562*100</f>
        <v>0.09554140127388536</v>
      </c>
      <c r="J560" s="6"/>
    </row>
    <row r="561" spans="1:10" ht="25.5" customHeight="1">
      <c r="A561" s="505"/>
      <c r="B561" s="506"/>
      <c r="C561" s="491" t="s">
        <v>168</v>
      </c>
      <c r="D561" s="496"/>
      <c r="E561" s="157">
        <f>E560</f>
        <v>210000</v>
      </c>
      <c r="F561" s="157">
        <f>F560</f>
        <v>-180000</v>
      </c>
      <c r="G561" s="157">
        <f>G560</f>
        <v>30000</v>
      </c>
      <c r="H561" s="147">
        <f>G561/E561*100</f>
        <v>14.285714285714285</v>
      </c>
      <c r="I561" s="175">
        <f>G561/G562*100</f>
        <v>0.09554140127388536</v>
      </c>
      <c r="J561" s="8"/>
    </row>
    <row r="562" spans="1:10" ht="24" customHeight="1" thickBot="1">
      <c r="A562" s="530" t="s">
        <v>188</v>
      </c>
      <c r="B562" s="531"/>
      <c r="C562" s="532" t="s">
        <v>193</v>
      </c>
      <c r="D562" s="533"/>
      <c r="E562" s="245">
        <f>E19+E39+E58+E71+E87+E104+E162+E177+E234+E265+E277+E293+E305+E326+E372+E400+E429+E448+E473+E496+E506+E522+E557+E561</f>
        <v>27920000</v>
      </c>
      <c r="F562" s="245">
        <f>F19+F39+F58+F71+F87+F104+F162+F177+F234+F265+F277+F293+F305+F326+F372+F400+F429+F448+F473+F496+F506+F522+F557+F561</f>
        <v>3480000</v>
      </c>
      <c r="G562" s="245">
        <f>G19+G39+G58+G71+G87+G104+G162+G177+G234+G265+G277+G293+G305+G326+G372+G400+G429+G448+G473+G496+G506+G522+G557+G561</f>
        <v>31400000</v>
      </c>
      <c r="H562" s="246">
        <f>G562/E562*100</f>
        <v>112.46418338108883</v>
      </c>
      <c r="I562" s="247">
        <f>G562/G562*100</f>
        <v>100</v>
      </c>
      <c r="J562" s="8"/>
    </row>
    <row r="563" spans="1:9" ht="10.5" customHeight="1" thickTop="1">
      <c r="A563" s="28"/>
      <c r="B563" s="28"/>
      <c r="C563" s="30"/>
      <c r="D563" s="30"/>
      <c r="E563" s="31"/>
      <c r="F563" s="31"/>
      <c r="G563" s="31"/>
      <c r="H563" s="31"/>
      <c r="I563" s="32"/>
    </row>
    <row r="564" ht="12.75">
      <c r="G564" s="1"/>
    </row>
    <row r="565" ht="12.75">
      <c r="G565" s="1"/>
    </row>
    <row r="566" ht="12.75">
      <c r="G566" s="1"/>
    </row>
  </sheetData>
  <sheetProtection/>
  <mergeCells count="100">
    <mergeCell ref="C162:D162"/>
    <mergeCell ref="C178:D181"/>
    <mergeCell ref="C163:D165"/>
    <mergeCell ref="C234:D234"/>
    <mergeCell ref="C278:D279"/>
    <mergeCell ref="C293:D293"/>
    <mergeCell ref="A327:B329"/>
    <mergeCell ref="C507:D508"/>
    <mergeCell ref="A558:B559"/>
    <mergeCell ref="C372:D372"/>
    <mergeCell ref="C448:D448"/>
    <mergeCell ref="C557:D557"/>
    <mergeCell ref="A449:B450"/>
    <mergeCell ref="C430:D432"/>
    <mergeCell ref="C429:D429"/>
    <mergeCell ref="C522:D522"/>
    <mergeCell ref="A562:B562"/>
    <mergeCell ref="A557:B557"/>
    <mergeCell ref="A306:B308"/>
    <mergeCell ref="A523:B524"/>
    <mergeCell ref="C326:D326"/>
    <mergeCell ref="C561:D561"/>
    <mergeCell ref="A561:B561"/>
    <mergeCell ref="A496:B496"/>
    <mergeCell ref="C562:D562"/>
    <mergeCell ref="C558:D559"/>
    <mergeCell ref="A235:B238"/>
    <mergeCell ref="A178:B181"/>
    <mergeCell ref="C235:D238"/>
    <mergeCell ref="C373:D375"/>
    <mergeCell ref="A293:B293"/>
    <mergeCell ref="A277:B277"/>
    <mergeCell ref="A265:B265"/>
    <mergeCell ref="A234:B234"/>
    <mergeCell ref="C306:D308"/>
    <mergeCell ref="A266:B268"/>
    <mergeCell ref="A72:B74"/>
    <mergeCell ref="A88:B90"/>
    <mergeCell ref="C40:D42"/>
    <mergeCell ref="C58:D58"/>
    <mergeCell ref="A19:B19"/>
    <mergeCell ref="C39:D39"/>
    <mergeCell ref="A71:B71"/>
    <mergeCell ref="A59:B61"/>
    <mergeCell ref="A20:B22"/>
    <mergeCell ref="A39:B39"/>
    <mergeCell ref="A1:I1"/>
    <mergeCell ref="A2:A3"/>
    <mergeCell ref="B2:C2"/>
    <mergeCell ref="D2:D3"/>
    <mergeCell ref="I2:I3"/>
    <mergeCell ref="C5:D7"/>
    <mergeCell ref="F2:F3"/>
    <mergeCell ref="C19:D19"/>
    <mergeCell ref="C71:D71"/>
    <mergeCell ref="A58:B58"/>
    <mergeCell ref="E2:E3"/>
    <mergeCell ref="H2:H3"/>
    <mergeCell ref="A5:B7"/>
    <mergeCell ref="C20:D22"/>
    <mergeCell ref="A522:B522"/>
    <mergeCell ref="C87:D87"/>
    <mergeCell ref="C177:D177"/>
    <mergeCell ref="A162:B162"/>
    <mergeCell ref="C88:D90"/>
    <mergeCell ref="C105:D108"/>
    <mergeCell ref="A177:B177"/>
    <mergeCell ref="A87:B87"/>
    <mergeCell ref="A163:B165"/>
    <mergeCell ref="C104:D104"/>
    <mergeCell ref="A104:B104"/>
    <mergeCell ref="A105:B108"/>
    <mergeCell ref="A560:B560"/>
    <mergeCell ref="A372:B372"/>
    <mergeCell ref="C523:D524"/>
    <mergeCell ref="A506:B506"/>
    <mergeCell ref="A430:B432"/>
    <mergeCell ref="A448:B448"/>
    <mergeCell ref="A473:B473"/>
    <mergeCell ref="C496:D496"/>
    <mergeCell ref="A497:B497"/>
    <mergeCell ref="A474:B475"/>
    <mergeCell ref="G2:G3"/>
    <mergeCell ref="C277:D277"/>
    <mergeCell ref="C449:D450"/>
    <mergeCell ref="A400:B400"/>
    <mergeCell ref="C305:D305"/>
    <mergeCell ref="A326:B326"/>
    <mergeCell ref="C327:D329"/>
    <mergeCell ref="C400:D400"/>
    <mergeCell ref="C506:D506"/>
    <mergeCell ref="C497:D497"/>
    <mergeCell ref="C474:D475"/>
    <mergeCell ref="C473:D473"/>
    <mergeCell ref="C401:D401"/>
    <mergeCell ref="C59:D61"/>
    <mergeCell ref="C72:D74"/>
    <mergeCell ref="C265:D265"/>
    <mergeCell ref="C294:D296"/>
    <mergeCell ref="C266:D268"/>
  </mergeCells>
  <printOptions horizontalCentered="1"/>
  <pageMargins left="0.15748031496062992" right="0.15748031496062992" top="0.35433070866141736" bottom="0.4330708661417323" header="0.31496062992125984" footer="0.2362204724409449"/>
  <pageSetup fitToHeight="12" horizontalDpi="600" verticalDpi="600" orientation="landscape" paperSize="9" r:id="rId1"/>
  <headerFooter alignWithMargins="0">
    <oddFooter>&amp;R&amp;P</oddFooter>
  </headerFooter>
  <rowBreaks count="20" manualBreakCount="20">
    <brk id="38" max="8" man="1"/>
    <brk id="68" max="8" man="1"/>
    <brk id="96" max="8" man="1"/>
    <brk id="129" max="8" man="1"/>
    <brk id="155" max="8" man="1"/>
    <brk id="184" max="8" man="1"/>
    <brk id="212" max="8" man="1"/>
    <brk id="227" max="8" man="1"/>
    <brk id="255" max="8" man="1"/>
    <brk id="282" max="8" man="1"/>
    <brk id="312" max="8" man="1"/>
    <brk id="338" max="8" man="1"/>
    <brk id="368" max="8" man="1"/>
    <brk id="395" max="8" man="1"/>
    <brk id="418" max="8" man="1"/>
    <brk id="442" max="8" man="1"/>
    <brk id="462" max="8" man="1"/>
    <brk id="487" max="8" man="1"/>
    <brk id="511" max="8" man="1"/>
    <brk id="537" max="8" man="1"/>
  </rowBreaks>
  <colBreaks count="1" manualBreakCount="1">
    <brk id="9" max="6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F27" sqref="F24:F28"/>
    </sheetView>
  </sheetViews>
  <sheetFormatPr defaultColWidth="9.140625" defaultRowHeight="12.75"/>
  <cols>
    <col min="1" max="1" width="7.28125" style="0" customWidth="1"/>
    <col min="2" max="2" width="49.00390625" style="0" customWidth="1"/>
    <col min="3" max="3" width="19.00390625" style="0" hidden="1" customWidth="1"/>
    <col min="4" max="6" width="17.421875" style="0" customWidth="1"/>
    <col min="7" max="7" width="12.421875" style="0" customWidth="1"/>
    <col min="8" max="8" width="10.8515625" style="0" customWidth="1"/>
    <col min="9" max="9" width="13.7109375" style="0" customWidth="1"/>
    <col min="10" max="10" width="14.140625" style="0" customWidth="1"/>
    <col min="11" max="11" width="13.7109375" style="0" customWidth="1"/>
    <col min="12" max="12" width="22.00390625" style="0" customWidth="1"/>
    <col min="13" max="13" width="14.7109375" style="0" customWidth="1"/>
  </cols>
  <sheetData>
    <row r="1" spans="1:8" ht="43.5" customHeight="1">
      <c r="A1" s="534" t="s">
        <v>569</v>
      </c>
      <c r="B1" s="535"/>
      <c r="C1" s="535"/>
      <c r="D1" s="535"/>
      <c r="E1" s="535"/>
      <c r="F1" s="535"/>
      <c r="G1" s="535"/>
      <c r="H1" s="535"/>
    </row>
    <row r="2" spans="1:8" ht="16.5" customHeight="1" thickBot="1">
      <c r="A2" s="536" t="s">
        <v>350</v>
      </c>
      <c r="B2" s="537"/>
      <c r="C2" s="37"/>
      <c r="D2" s="37"/>
      <c r="E2" s="37"/>
      <c r="F2" s="37"/>
      <c r="G2" s="37"/>
      <c r="H2" s="37"/>
    </row>
    <row r="3" spans="1:8" ht="60" customHeight="1" thickTop="1">
      <c r="A3" s="248" t="s">
        <v>199</v>
      </c>
      <c r="B3" s="261" t="s">
        <v>200</v>
      </c>
      <c r="C3" s="286" t="s">
        <v>404</v>
      </c>
      <c r="D3" s="286" t="s">
        <v>539</v>
      </c>
      <c r="E3" s="286" t="s">
        <v>559</v>
      </c>
      <c r="F3" s="286" t="s">
        <v>571</v>
      </c>
      <c r="G3" s="286" t="s">
        <v>104</v>
      </c>
      <c r="H3" s="249" t="s">
        <v>109</v>
      </c>
    </row>
    <row r="4" spans="1:11" ht="15" customHeight="1">
      <c r="A4" s="105">
        <v>1</v>
      </c>
      <c r="B4" s="100">
        <v>2</v>
      </c>
      <c r="C4" s="106"/>
      <c r="D4" s="106" t="s">
        <v>389</v>
      </c>
      <c r="E4" s="106" t="s">
        <v>561</v>
      </c>
      <c r="F4" s="106" t="s">
        <v>570</v>
      </c>
      <c r="G4" s="106" t="s">
        <v>562</v>
      </c>
      <c r="H4" s="107">
        <v>7</v>
      </c>
      <c r="K4" s="1"/>
    </row>
    <row r="5" spans="1:11" ht="12.75">
      <c r="A5" s="119" t="s">
        <v>55</v>
      </c>
      <c r="B5" s="122" t="s">
        <v>64</v>
      </c>
      <c r="C5" s="287" t="e">
        <f>SUM(SUMIF(Org!$A$8:Org!$A$560," 0111",Org!#REF!:Org!#REF!),SUMIF(Org!$A$10:Org!$A$560," 0160",Org!#REF!:Org!#REF!),SUMIF(Org!$A$10:Org!$A$560," 0180",Org!#REF!:Org!#REF!),SUMIF(Org!$A$10:Org!$A$560,"0170 ",Org!#REF!:Org!#REF!))-'B.pr. i prim. za nef. im.'!#REF!-'B.pr. i prim. za nef. im.'!#REF!</f>
        <v>#REF!</v>
      </c>
      <c r="D5" s="287">
        <f>SUM(SUMIF(Org!$A$8:Org!$A$560," 0111",Org!E$8:Org!E$560),SUMIF(Org!$A$10:Org!$A$560," 0160",Org!E$10:Org!E$561),SUMIF(Org!$A$10:Org!$A$560," 0180",Org!E$10:Org!E$561),SUMIF(Org!$A$9:Org!$A$560,"0113",Org!E$9:Org!E$560),SUMIF(Org!$A$10:Org!$A$560,"0170 ",Org!E$10:Org!E$560))-'B.pr. i prim. za nef. im.'!D108-'B.pr. i prim. za nef. im.'!D110</f>
        <v>5935900</v>
      </c>
      <c r="E5" s="287">
        <f>F5-D5</f>
        <v>-34689.919999999925</v>
      </c>
      <c r="F5" s="287">
        <f>SUM(SUMIF(Org!$A$8:Org!$A$560," 0111",Org!G$8:Org!G$560),SUMIF(Org!$A$10:Org!$A$560," 0160",Org!G$10:Org!G$561),SUMIF(Org!$A$10:Org!$A$560," 0180",Org!G$10:Org!G$561),SUMIF(Org!$A$9:Org!$A$560,"0113",Org!G$9:Org!G$560),SUMIF(Org!$A$10:Org!$A$560,"0170 ",Org!G$10:Org!G$560))-'B.pr. i prim. za nef. im.'!F108-'B.pr. i prim. za nef. im.'!F110</f>
        <v>5901210.08</v>
      </c>
      <c r="G5" s="287">
        <f aca="true" t="shared" si="0" ref="G5:G15">F5/D5*100</f>
        <v>99.41559123300596</v>
      </c>
      <c r="H5" s="256">
        <f>F5/$F$15*100</f>
        <v>20.50164728432598</v>
      </c>
      <c r="K5" s="1"/>
    </row>
    <row r="6" spans="1:11" ht="12.75">
      <c r="A6" s="119" t="s">
        <v>56</v>
      </c>
      <c r="B6" s="288" t="s">
        <v>65</v>
      </c>
      <c r="C6" s="287" t="e">
        <f>SUM(SUMIF(Org!$A$10:Org!$A$561,"02",Org!#REF!:Org!#REF!))</f>
        <v>#REF!</v>
      </c>
      <c r="D6" s="287">
        <f>SUM(SUMIF(Org!$A$10:Org!$A$561,"02",Org!E$10:Org!E$561))</f>
        <v>0</v>
      </c>
      <c r="E6" s="287">
        <f aca="true" t="shared" si="1" ref="E6:E14">F6-D6</f>
        <v>0</v>
      </c>
      <c r="F6" s="287">
        <f>SUM(SUMIF(Org!$A$10:Org!$A$561,"02",Org!G$10:Org!G$561))</f>
        <v>0</v>
      </c>
      <c r="G6" s="287" t="e">
        <f t="shared" si="0"/>
        <v>#DIV/0!</v>
      </c>
      <c r="H6" s="256">
        <f aca="true" t="shared" si="2" ref="H6:H14">F6/$F$15*100</f>
        <v>0</v>
      </c>
      <c r="K6" s="1"/>
    </row>
    <row r="7" spans="1:12" ht="12.75">
      <c r="A7" s="119" t="s">
        <v>57</v>
      </c>
      <c r="B7" s="122" t="s">
        <v>66</v>
      </c>
      <c r="C7" s="287" t="e">
        <f>SUM(SUMIF(Org!$A$10:Org!$A$560," 0320",Org!#REF!:Org!#REF!),SUMIF(Org!$A$10:Org!$A$560,"0350",Org!#REF!:Org!#REF!))</f>
        <v>#REF!</v>
      </c>
      <c r="D7" s="287">
        <f>SUM(SUMIF(Org!$A$10:Org!$A$560," 0320",Org!E$10:Org!E$561),SUMIF(Org!$A$10:Org!$A$560,"0350"))</f>
        <v>466800</v>
      </c>
      <c r="E7" s="287">
        <f t="shared" si="1"/>
        <v>-2000</v>
      </c>
      <c r="F7" s="287">
        <f>SUM(SUMIF(Org!$A$10:Org!$A$560," 0320",Org!G$10:Org!G$561),SUMIF(Org!$A$10:Org!$A$560,"0350"))</f>
        <v>464800</v>
      </c>
      <c r="G7" s="287">
        <f t="shared" si="0"/>
        <v>99.57155098543274</v>
      </c>
      <c r="H7" s="256">
        <f t="shared" si="2"/>
        <v>1.6147816343719652</v>
      </c>
      <c r="K7" s="1"/>
      <c r="L7" s="1"/>
    </row>
    <row r="8" spans="1:11" ht="12.75">
      <c r="A8" s="119" t="s">
        <v>58</v>
      </c>
      <c r="B8" s="193" t="s">
        <v>67</v>
      </c>
      <c r="C8" s="287" t="e">
        <f>SUM(SUMIF(Org!$A$10:Org!$A$560," 0412",Org!#REF!:Org!#REF!),SUMIF(Org!$A$10:Org!$A$560," 0421",Org!#REF!:Org!#REF!),SUMIF(Org!$A$10:Org!$A$560," 0422",Org!#REF!:Org!#REF!),SUMIF(Org!$A$10:Org!$A$560," 0442",Org!#REF!:Org!#REF!),SUMIF(Org!$A$10:Org!$A$560," 0451",Org!#REF!:Org!#REF!),SUMIF(Org!$A$10:Org!$A$560," 0473",Org!#REF!:Org!#REF!),SUMIF(Org!$A$10:Org!$A$560,"0474 ",Org!#REF!:Org!#REF!),SUMIF(Org!$A$10:Org!$A$560,"0490 ",Org!#REF!:Org!#REF!))</f>
        <v>#REF!</v>
      </c>
      <c r="D8" s="287">
        <f>SUM(SUMIF(Org!$A$10:Org!$A$560," 0412",Org!E$10:Org!E$560),SUMIF(Org!$A$10:Org!$A$560," 0421",Org!E$10:Org!E$560),SUMIF(Org!$A$10:Org!$A$560," 0422",Org!E$10:Org!E$560),SUMIF(Org!$A$10:Org!$A$560," 0442",Org!E$10:Org!E$560),SUMIF(Org!$A$10:Org!$A$560," 0451",Org!E$10:Org!E$561),SUMIF(Org!$A$10:Org!$A$560," 0473",Org!E$10:Org!E$561),SUMIF(Org!$A$10:Org!$A$560,"0474 ",Org!E$10:Org!E$560),SUMIF(Org!$A$10:Org!$A$560,"0490 ",Org!E$10:Org!E$560))</f>
        <v>1143500</v>
      </c>
      <c r="E8" s="287">
        <f t="shared" si="1"/>
        <v>162000</v>
      </c>
      <c r="F8" s="287">
        <f>SUM(SUMIF(Org!$A$10:Org!$A$560," 0412",Org!G$10:Org!G$560),SUMIF(Org!$A$10:Org!$A$560," 0421",Org!G$10:Org!G$560),SUMIF(Org!$A$10:Org!$A$560," 0422",Org!G$10:Org!G$560),SUMIF(Org!$A$10:Org!$A$560," 0442",Org!G$10:Org!G$560),SUMIF(Org!$A$10:Org!$A$560," 0451",Org!G$10:Org!G$561),SUMIF(Org!$A$10:Org!$A$560," 0473",Org!G$10:Org!G$561),SUMIF(Org!$A$10:Org!$A$560,"0474 ",Org!G$10:Org!G$560),SUMIF(Org!$A$10:Org!$A$560,"0490 ",Org!G$10:Org!G$560))</f>
        <v>1305500</v>
      </c>
      <c r="G8" s="287">
        <f t="shared" si="0"/>
        <v>114.16703104503716</v>
      </c>
      <c r="H8" s="256">
        <f t="shared" si="2"/>
        <v>4.535493596541739</v>
      </c>
      <c r="I8" s="1"/>
      <c r="K8" s="1"/>
    </row>
    <row r="9" spans="1:12" ht="12.75">
      <c r="A9" s="119" t="s">
        <v>59</v>
      </c>
      <c r="B9" s="193" t="s">
        <v>68</v>
      </c>
      <c r="C9" s="287" t="e">
        <f>SUM(SUMIF(Org!$A$10:Org!$A$560," 0510",Org!#REF!:Org!#REF!))</f>
        <v>#REF!</v>
      </c>
      <c r="D9" s="287">
        <f>SUM(SUMIF(Org!$A$10:Org!$A$560," 0510",Org!E$10:Org!E$560))</f>
        <v>0</v>
      </c>
      <c r="E9" s="287">
        <f t="shared" si="1"/>
        <v>1799</v>
      </c>
      <c r="F9" s="287">
        <f>SUM(SUMIF(Org!$A$10:Org!$A$560," 0510",Org!G$10:Org!G$560))</f>
        <v>1799</v>
      </c>
      <c r="G9" s="287" t="e">
        <f t="shared" si="0"/>
        <v>#DIV/0!</v>
      </c>
      <c r="H9" s="256">
        <f t="shared" si="2"/>
        <v>0.006249983133036071</v>
      </c>
      <c r="L9" s="1"/>
    </row>
    <row r="10" spans="1:12" ht="12.75">
      <c r="A10" s="119" t="s">
        <v>60</v>
      </c>
      <c r="B10" s="193" t="s">
        <v>69</v>
      </c>
      <c r="C10" s="287" t="e">
        <f>SUM(SUMIF(Org!$A$10:Org!$A$560,"0610 ",Org!#REF!:Org!#REF!),SUMIF(Org!$A$10:Org!$A$560,"0630 ",Org!#REF!:Org!#REF!),SUMIF(Org!$A$10:Org!$A$560,"0620",Org!#REF!:Org!#REF!),SUMIF(Org!$A$10:Org!$A$560,"0660",Org!#REF!:Org!#REF!))</f>
        <v>#REF!</v>
      </c>
      <c r="D10" s="287">
        <f>SUM(SUMIF(Org!$A$10:Org!$A$560,"0610 ",Org!E$10:Org!E$560),SUMIF(Org!$A$10:Org!$A$560,"0630 ",Org!E$10:Org!E$560),SUMIF(Org!$A$10:Org!$A$560,"0620",Org!E$10:Org!E$560),SUMIF(Org!$A$10:Org!$A$560,"0660",Org!E$10:Org!E$560))</f>
        <v>3139500</v>
      </c>
      <c r="E10" s="287">
        <f t="shared" si="1"/>
        <v>2451148.1399999997</v>
      </c>
      <c r="F10" s="287">
        <f>SUM(SUMIF(Org!$A$10:Org!$A$560,"0610 ",Org!G$10:Org!G$560),SUMIF(Org!$A$10:Org!$A$560,"0630 ",Org!G$10:Org!G$560),SUMIF(Org!$A$10:Org!$A$560,"0620",Org!G$10:Org!G$560),SUMIF(Org!$A$10:Org!$A$560,"0660",Org!G$10:Org!G$560))</f>
        <v>5590648.14</v>
      </c>
      <c r="G10" s="287">
        <f t="shared" si="0"/>
        <v>178.07447491638794</v>
      </c>
      <c r="H10" s="256">
        <f t="shared" si="2"/>
        <v>19.422710715808492</v>
      </c>
      <c r="K10" s="1"/>
      <c r="L10" s="1"/>
    </row>
    <row r="11" spans="1:11" ht="12.75">
      <c r="A11" s="119" t="s">
        <v>61</v>
      </c>
      <c r="B11" s="61" t="s">
        <v>70</v>
      </c>
      <c r="C11" s="287" t="e">
        <f>SUM(SUMIF(Org!$A$10:Org!$A$560,"0740",Org!#REF!:Org!#REF!),SUMIF(Org!$A$10:Org!$A$560,"0720",Org!#REF!:Org!#REF!),SUMIF(Org!$A$10:Org!$A$560,"0734",Org!#REF!:Org!#REF!))</f>
        <v>#REF!</v>
      </c>
      <c r="D11" s="287">
        <f>SUM(SUMIF(Org!$A$10:Org!$A$560,"0740",Org!E$10:Org!E$560),SUMIF(Org!$A$10:Org!$A$560,"0721",Org!E$10:Org!E$560),SUMIF(Org!$A$10:Org!$A$560,"0734",Org!E$10:Org!E$560))</f>
        <v>6078200</v>
      </c>
      <c r="E11" s="287">
        <f>F11-D11</f>
        <v>295000</v>
      </c>
      <c r="F11" s="287">
        <f>SUM(SUMIF(Org!$A$10:Org!$A$560,"0740",Org!G$10:Org!G$560),SUMIF(Org!$A$10:Org!$A$560,"0721",Org!G$10:Org!G$560),SUMIF(Org!$A$10:Org!$A$560,"0734",Org!G$10:Org!G$560))</f>
        <v>6373200</v>
      </c>
      <c r="G11" s="287">
        <f t="shared" si="0"/>
        <v>104.85341054917573</v>
      </c>
      <c r="H11" s="256">
        <f t="shared" si="2"/>
        <v>22.14140772844107</v>
      </c>
      <c r="I11" s="1"/>
      <c r="K11" s="1"/>
    </row>
    <row r="12" spans="1:8" ht="12.75">
      <c r="A12" s="119" t="s">
        <v>62</v>
      </c>
      <c r="B12" s="61" t="s">
        <v>71</v>
      </c>
      <c r="C12" s="287" t="e">
        <f>SUM(SUMIF(Org!$A$10:Org!$A$560,"0810",Org!#REF!),SUMIF(Org!$A$10:Org!$A$561,"0820",Org!#REF!:Org!#REF!),SUMIF(Org!$A$10:Org!$A$561,"0830",Org!#REF!:Org!#REF!),SUMIF(Org!$A$10:Org!$A$560,"0840",Org!#REF!:Org!#REF!),SUMIF(Org!$A$10:Org!$A$560,"0860",Org!#REF!:Org!#REF!))-'B.pr. i prim. za nef. im.'!#REF!</f>
        <v>#REF!</v>
      </c>
      <c r="D12" s="287">
        <f>SUM(SUMIF(Org!$A$10:Org!$A$560,"0810",Org!E$10:E$561),SUMIF(Org!$A$10:Org!$A$561,"0820",Org!E$10:Org!E$561),SUMIF(Org!$A$10:Org!$A$561,"0830",Org!E$10:Org!E$561),SUMIF(Org!$A$10:Org!$A$560,"0840",Org!E$10:Org!E$561),SUMIF(Org!$A$10:Org!$A$560,"0860",Org!E$10:Org!E$561))-'B.pr. i prim. za nef. im.'!D115-'B.pr. i prim. za nef. im.'!D113</f>
        <v>1317100</v>
      </c>
      <c r="E12" s="287">
        <f t="shared" si="1"/>
        <v>192147.06000000006</v>
      </c>
      <c r="F12" s="287">
        <f>SUM(SUMIF(Org!$A$10:Org!$A$560,"0810",Org!G$10:G$561),SUMIF(Org!$A$10:Org!$A$561,"0820",Org!G$10:Org!G$561),SUMIF(Org!$A$10:Org!$A$561,"0830",Org!G$10:Org!G$561),SUMIF(Org!$A$10:Org!$A$560,"0840",Org!G$10:Org!G$561),SUMIF(Org!$A$10:Org!$A$560,"0860",Org!G$10:Org!G$561))-'B.pr. i prim. za nef. im.'!F115-'B.pr. i prim. za nef. im.'!F113</f>
        <v>1509247.06</v>
      </c>
      <c r="G12" s="287">
        <f t="shared" si="0"/>
        <v>114.58864626831675</v>
      </c>
      <c r="H12" s="256">
        <f t="shared" si="2"/>
        <v>5.243340004771695</v>
      </c>
    </row>
    <row r="13" spans="1:8" ht="12.75">
      <c r="A13" s="119" t="s">
        <v>63</v>
      </c>
      <c r="B13" s="193" t="s">
        <v>72</v>
      </c>
      <c r="C13" s="287" t="e">
        <f>SUM(SUMIF(Org!$A$10:Org!$A$560,"0912",Org!#REF!:Org!#REF!),SUMIF(Org!$A$10:Org!$A$560,"0911",Org!#REF!:Org!#REF!),SUMIF(Org!$A$10:Org!$A$560,"0941",Org!#REF!:Org!#REF!),SUMIF(Org!$A$10:Org!$A$560,"0942",Org!#REF!:Org!#REF!),SUMIF(Org!$A$10:Org!$A$560,"0922",Org!#REF!:Org!#REF!),SUMIF(Org!$A$10:Org!$A$560,"0921",Org!#REF!:Org!#REF!))</f>
        <v>#REF!</v>
      </c>
      <c r="D13" s="287">
        <f>SUM(SUMIF(Org!$A$10:Org!$A$560,"0912",Org!E$10:Org!E$561),SUMIF(Org!$A$10:Org!$A$560,"0911",Org!E$10:Org!E$561),SUMIF(Org!$A$10:Org!$A$560,"0941",Org!E$10:Org!E$561),SUMIF(Org!$A$10:Org!$A$560,"0942",Org!E$10:Org!E$561),SUMIF(Org!$A$10:Org!$A$560,"0922",Org!E$10:Org!E$561),SUMIF(Org!$A$10:Org!$A$560,"0921",Org!E$10:Org!E$561))</f>
        <v>2042300</v>
      </c>
      <c r="E13" s="287">
        <f t="shared" si="1"/>
        <v>160700.16999999993</v>
      </c>
      <c r="F13" s="287">
        <f>SUM(SUMIF(Org!$A$10:Org!$A$560,"0912",Org!G$10:Org!G$561),SUMIF(Org!$A$10:Org!$A$560,"0911",Org!G$10:Org!G$561),SUMIF(Org!$A$10:Org!$A$560,"0941",Org!G$10:Org!G$561),SUMIF(Org!$A$10:Org!$A$560,"0942",Org!G$10:Org!G$561),SUMIF(Org!$A$10:Org!$A$560,"0922",Org!G$10:Org!G$561),SUMIF(Org!$A$10:Org!$A$560,"0921",Org!G$10:Org!G$561))</f>
        <v>2203000.17</v>
      </c>
      <c r="G13" s="287">
        <f t="shared" si="0"/>
        <v>107.86858786662097</v>
      </c>
      <c r="H13" s="256">
        <f t="shared" si="2"/>
        <v>7.653537467801887</v>
      </c>
    </row>
    <row r="14" spans="1:9" ht="12.75">
      <c r="A14" s="259">
        <v>10</v>
      </c>
      <c r="B14" s="193" t="s">
        <v>73</v>
      </c>
      <c r="C14" s="287" t="e">
        <f>SUM(SUMIF(Org!$A$10:Org!$A$561,"1011",Org!#REF!:Org!#REF!),SUMIF(Org!$A$10:Org!$A$561,"1020",Org!#REF!:Org!#REF!),SUMIF(Org!$A$10:Org!$A$561,"1090",Org!#REF!:Org!#REF!),SUMIF(Org!$A$10:Org!$A$561,"1040",Org!#REF!:Org!#REF!))</f>
        <v>#REF!</v>
      </c>
      <c r="D14" s="287">
        <f>SUM(SUMIF(Org!$A$10:Org!$A$561,"1011",Org!E$10:Org!E$561),SUMIF(Org!$A$10:Org!$A$561,"1020",Org!E$10:Org!E$561),SUMIF(Org!$A$10:Org!$A$561,"1090",Org!E$10:Org!E$561),SUMIF(Org!$A$9:Org!$A$561,"1070",Org!E$9:Org!E$561),SUMIF(Org!$A$10:Org!$A$561,"1040",Org!E$10:Org!E$561))</f>
        <v>4656300</v>
      </c>
      <c r="E14" s="287">
        <f t="shared" si="1"/>
        <v>778373.2300000004</v>
      </c>
      <c r="F14" s="287">
        <f>SUM(SUMIF(Org!$A$10:Org!$A$561,"1011",Org!G$10:Org!G$561),SUMIF(Org!$A$10:Org!$A$561,"1020",Org!G$10:Org!G$561),SUMIF(Org!$A$10:Org!$A$561,"1090",Org!G$10:Org!G$561),SUMIF(Org!$A$9:Org!$A$561,"1070",Org!G$9:Org!G$561),SUMIF(Org!$A$10:Org!$A$561,"1040",Org!G$10:Org!G$561))</f>
        <v>5434673.23</v>
      </c>
      <c r="G14" s="287">
        <f t="shared" si="0"/>
        <v>116.71656100337178</v>
      </c>
      <c r="H14" s="256">
        <f t="shared" si="2"/>
        <v>18.88083158480415</v>
      </c>
      <c r="I14" s="1"/>
    </row>
    <row r="15" spans="1:12" ht="22.5" customHeight="1" thickBot="1">
      <c r="A15" s="289"/>
      <c r="B15" s="290" t="s">
        <v>309</v>
      </c>
      <c r="C15" s="291" t="e">
        <f>SUM(C5:C14)</f>
        <v>#REF!</v>
      </c>
      <c r="D15" s="291">
        <f>SUM(D5:D14)</f>
        <v>24779600</v>
      </c>
      <c r="E15" s="291">
        <f>SUM(E5:E14)</f>
        <v>4004477.68</v>
      </c>
      <c r="F15" s="291">
        <f>SUM(F5:F14)</f>
        <v>28784077.679999996</v>
      </c>
      <c r="G15" s="363">
        <f t="shared" si="0"/>
        <v>116.16038063568416</v>
      </c>
      <c r="H15" s="292">
        <f>F15/F15*100</f>
        <v>100</v>
      </c>
      <c r="I15" s="1"/>
      <c r="L15" s="1"/>
    </row>
    <row r="16" spans="3:10" ht="13.5" thickTop="1">
      <c r="C16" s="1"/>
      <c r="D16" s="1"/>
      <c r="E16" s="1"/>
      <c r="F16" s="1"/>
      <c r="G16" s="1"/>
      <c r="H16" s="1"/>
      <c r="J16" s="1"/>
    </row>
    <row r="17" spans="1:2" ht="17.25" customHeight="1" thickBot="1">
      <c r="A17" s="538" t="s">
        <v>356</v>
      </c>
      <c r="B17" s="538"/>
    </row>
    <row r="18" spans="1:8" ht="67.5" customHeight="1" thickTop="1">
      <c r="A18" s="293" t="s">
        <v>199</v>
      </c>
      <c r="B18" s="280" t="s">
        <v>351</v>
      </c>
      <c r="C18" s="286" t="s">
        <v>404</v>
      </c>
      <c r="D18" s="286" t="s">
        <v>539</v>
      </c>
      <c r="E18" s="286" t="s">
        <v>559</v>
      </c>
      <c r="F18" s="286" t="s">
        <v>571</v>
      </c>
      <c r="G18" s="286" t="s">
        <v>104</v>
      </c>
      <c r="H18" s="249" t="s">
        <v>109</v>
      </c>
    </row>
    <row r="19" spans="1:8" ht="14.25" customHeight="1" thickBot="1">
      <c r="A19" s="105">
        <v>1</v>
      </c>
      <c r="B19" s="100">
        <v>2</v>
      </c>
      <c r="C19" s="106"/>
      <c r="D19" s="106" t="s">
        <v>389</v>
      </c>
      <c r="E19" s="106" t="s">
        <v>561</v>
      </c>
      <c r="F19" s="106" t="s">
        <v>570</v>
      </c>
      <c r="G19" s="106" t="s">
        <v>562</v>
      </c>
      <c r="H19" s="107">
        <v>7</v>
      </c>
    </row>
    <row r="20" spans="1:12" ht="13.5" thickBot="1">
      <c r="A20" s="294" t="s">
        <v>352</v>
      </c>
      <c r="B20" s="295" t="s">
        <v>353</v>
      </c>
      <c r="C20" s="296" t="e">
        <f>C15-C21</f>
        <v>#REF!</v>
      </c>
      <c r="D20" s="296">
        <f>D15-D21</f>
        <v>15480000</v>
      </c>
      <c r="E20" s="296">
        <f>F20-D20</f>
        <v>3407818.589999996</v>
      </c>
      <c r="F20" s="296">
        <f>F15-F21</f>
        <v>18887818.589999996</v>
      </c>
      <c r="G20" s="378">
        <f>F20/D20*100</f>
        <v>122.01433197674416</v>
      </c>
      <c r="H20" s="297">
        <f>F20/F22*100</f>
        <v>65.61898143821296</v>
      </c>
      <c r="L20" s="1"/>
    </row>
    <row r="21" spans="1:12" ht="13.5" thickBot="1">
      <c r="A21" s="298" t="s">
        <v>354</v>
      </c>
      <c r="B21" s="299" t="s">
        <v>355</v>
      </c>
      <c r="C21" s="260" t="e">
        <f>SUM(SUMIF(Org!$A$10:Org!$A$561,"0734",Org!#REF!:Org!#REF!),SUMIF(Org!$A$10:Org!$A$561,"0740",Org!#REF!:Org!#REF!),SUMIF(Org!$A$10:Org!$A$561,"0810",Org!#REF!:Org!#REF!),SUMIF(Org!$A$10:Org!$A$561,"0820",Org!#REF!:Org!#REF!),SUMIF(Org!$A$10:Org!$A$561,"0911",Org!#REF!:Org!#REF!),SUMIF(Org!$A$10:Org!$A$561,"0912",Org!#REF!:Org!#REF!),SUMIF(Org!$A$10:Org!$A$561,"0921",Org!#REF!:Org!#REF!),SUMIF(Org!$A$10:Org!$A$561,"0922",Org!#REF!:Org!#REF!),SUMIF(Org!$A$10:Org!$A$561,"0941",Org!#REF!:Org!#REF!),SUMIF(Org!$A$10:Org!$A$561,"1011",Org!#REF!:Org!#REF!),SUMIF(Org!$A$10:Org!$A$561,"1020",Org!#REF!:Org!#REF!),SUMIF(Org!$A$10:Org!$A$561,"1040",Org!#REF!:Org!#REF!))-'B.pr. i prim. za nef. im.'!#REF!</f>
        <v>#REF!</v>
      </c>
      <c r="D21" s="260">
        <f>SUM(SUMIF(Org!$A$10:Org!$A$561,"0734",Org!E$10:Org!E$561),SUMIF(Org!$A$10:Org!$A$561,"0721",Org!E$10:Org!E$561),SUMIF(Org!$A$10:Org!$A$561,"0740",Org!E$10:Org!E$561),SUMIF(Org!$A$10:Org!$A$561,"0810",Org!E$10:Org!E$561),SUMIF(Org!$A$10:Org!$A$561,"0820",Org!E$10:Org!E$561),SUMIF(Org!$A$10:Org!$A$561,"0911",Org!E$10:Org!E$561),SUMIF(Org!$A$10:Org!$A$561,"0912",Org!E$10:Org!E$561),SUMIF(Org!$A$10:Org!$A$561,"0921",Org!E$10:Org!E$561),SUMIF(Org!$A$10:Org!$A$561,"0922",Org!E$10:Org!E$561),SUMIF(Org!$A$10:Org!$A$561,"0941",Org!E$10:Org!E$561),SUMIF(Org!$A$10:Org!$A$561,"1011",Org!E$10:Org!E$561),SUMIF(Org!$A$10:Org!$A$561,"1020",Org!E$10:Org!E$561),SUMIF(Org!$A$10:Org!$A$561,"1040",Org!E$10:Org!E$561))-'B.pr. i prim. za nef. im.'!D114</f>
        <v>9299600</v>
      </c>
      <c r="E21" s="296">
        <f>F21-D21</f>
        <v>596659.0899999999</v>
      </c>
      <c r="F21" s="260">
        <f>SUM(SUMIF(Org!$A$10:Org!$A$561,"0734",Org!G$10:Org!G$561),SUMIF(Org!$A$10:Org!$A$561,"0721",Org!G$10:Org!G$561),SUMIF(Org!$A$10:Org!$A$561,"0740",Org!G$10:Org!G$561),SUMIF(Org!$A$10:Org!$A$561,"0810",Org!G$10:Org!G$561),SUMIF(Org!$A$10:Org!$A$561,"0820",Org!G$10:Org!G$561),SUMIF(Org!$A$10:Org!$A$561,"0911",Org!G$10:Org!G$561),SUMIF(Org!$A$10:Org!$A$561,"0912",Org!G$10:Org!G$561),SUMIF(Org!$A$10:Org!$A$561,"0921",Org!G$10:Org!G$561),SUMIF(Org!$A$10:Org!$A$561,"0922",Org!G$10:Org!G$561),SUMIF(Org!$A$10:Org!$A$561,"0941",Org!G$10:Org!G$561),SUMIF(Org!$A$10:Org!$A$561,"1011",Org!G$10:Org!G$561),SUMIF(Org!$A$10:Org!$A$561,"1020",Org!G$10:Org!G$561),SUMIF(Org!$A$10:Org!$A$561,"1040",Org!G$10:Org!G$561))-'B.pr. i prim. za nef. im.'!F114</f>
        <v>9896259.09</v>
      </c>
      <c r="G21" s="379">
        <f>F21/D21*100</f>
        <v>106.41596509527291</v>
      </c>
      <c r="H21" s="300">
        <f>F21/F22*100</f>
        <v>34.381018561787045</v>
      </c>
      <c r="I21" s="1"/>
      <c r="K21" s="1"/>
      <c r="L21" s="1"/>
    </row>
    <row r="22" spans="1:12" ht="20.25" customHeight="1" thickBot="1">
      <c r="A22" s="289"/>
      <c r="B22" s="290" t="s">
        <v>309</v>
      </c>
      <c r="C22" s="301" t="e">
        <f>SUM(C20:C21)</f>
        <v>#REF!</v>
      </c>
      <c r="D22" s="301">
        <f>SUM(D20:D21)</f>
        <v>24779600</v>
      </c>
      <c r="E22" s="301">
        <f>SUM(E20:E21)</f>
        <v>4004477.679999996</v>
      </c>
      <c r="F22" s="301">
        <f>SUM(F20:F21)</f>
        <v>28784077.679999996</v>
      </c>
      <c r="G22" s="301">
        <f>F22/D22*100</f>
        <v>116.16038063568416</v>
      </c>
      <c r="H22" s="302">
        <f>F22/F22*100</f>
        <v>100</v>
      </c>
      <c r="K22" s="1"/>
      <c r="L22" s="1"/>
    </row>
    <row r="23" spans="1:12" ht="20.25" customHeight="1" thickTop="1">
      <c r="A23" s="26"/>
      <c r="B23" s="26"/>
      <c r="C23" s="26"/>
      <c r="D23" s="26"/>
      <c r="E23" s="26"/>
      <c r="F23" s="26"/>
      <c r="G23" s="26"/>
      <c r="H23" s="26"/>
      <c r="L23" s="1"/>
    </row>
    <row r="24" spans="1:12" ht="15" customHeight="1">
      <c r="A24" s="26"/>
      <c r="B24" s="29"/>
      <c r="C24" s="38"/>
      <c r="D24" s="38"/>
      <c r="E24" s="38"/>
      <c r="F24" s="38"/>
      <c r="G24" s="26"/>
      <c r="H24" s="26"/>
      <c r="L24" s="1"/>
    </row>
    <row r="25" spans="4:12" ht="20.25" customHeight="1" hidden="1">
      <c r="D25" s="1">
        <f>'opsti dio'!C35+'opsti dio'!C38+'opsti dio'!C57+'opsti dio'!C64</f>
        <v>3140400</v>
      </c>
      <c r="E25" s="1">
        <f>'opsti dio'!D35+'opsti dio'!D38+'opsti dio'!D57+'opsti dio'!D64</f>
        <v>-524477.6799999999</v>
      </c>
      <c r="F25" s="1"/>
      <c r="L25" s="1"/>
    </row>
    <row r="26" spans="4:12" ht="26.25" customHeight="1" hidden="1">
      <c r="D26" s="1">
        <f>D22+D25</f>
        <v>27920000</v>
      </c>
      <c r="E26" s="1">
        <f>E22+E25</f>
        <v>3479999.9999999963</v>
      </c>
      <c r="F26" s="1"/>
      <c r="L26" s="1"/>
    </row>
    <row r="27" spans="5:6" ht="12.75">
      <c r="E27" s="1"/>
      <c r="F27" s="1"/>
    </row>
    <row r="28" ht="12.75">
      <c r="F28" s="1"/>
    </row>
    <row r="29" spans="4:6" ht="20.25" customHeight="1">
      <c r="D29" s="1"/>
      <c r="E29" s="1"/>
      <c r="F29" s="1"/>
    </row>
  </sheetData>
  <sheetProtection/>
  <mergeCells count="3">
    <mergeCell ref="A1:H1"/>
    <mergeCell ref="A2:B2"/>
    <mergeCell ref="A17:B17"/>
  </mergeCells>
  <printOptions horizontalCentered="1"/>
  <pageMargins left="0.15748031496062992" right="0.15748031496062992" top="0.5511811023622047" bottom="0.5118110236220472" header="0.5118110236220472" footer="0.31496062992125984"/>
  <pageSetup horizontalDpi="600" verticalDpi="600" orientation="landscape" paperSize="9" scale="105" r:id="rId1"/>
  <headerFooter alignWithMargins="0">
    <oddFooter>&amp;R&amp;P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User</cp:lastModifiedBy>
  <cp:lastPrinted>2023-12-04T11:15:33Z</cp:lastPrinted>
  <dcterms:created xsi:type="dcterms:W3CDTF">2006-03-15T13:27:57Z</dcterms:created>
  <dcterms:modified xsi:type="dcterms:W3CDTF">2023-12-06T07:41:48Z</dcterms:modified>
  <cp:category/>
  <cp:version/>
  <cp:contentType/>
  <cp:contentStatus/>
</cp:coreProperties>
</file>