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rva strana" sheetId="1" r:id="rId1"/>
    <sheet name="opsti dio" sheetId="2" r:id="rId2"/>
    <sheet name="B.pr. i prim. za nef. im." sheetId="3" r:id="rId3"/>
    <sheet name="B.rash. i izdaci za nef. im." sheetId="4" r:id="rId4"/>
    <sheet name="Finansiranje" sheetId="5" r:id="rId5"/>
    <sheet name="Org" sheetId="6" r:id="rId6"/>
    <sheet name="Funkc. kl." sheetId="7" r:id="rId7"/>
  </sheets>
  <definedNames>
    <definedName name="_xlnm.Print_Area" localSheetId="2">'B.pr. i prim. za nef. im.'!$A$1:$G$116</definedName>
    <definedName name="_xlnm.Print_Area" localSheetId="3">'B.rash. i izdaci za nef. im.'!$A$1:$F$57</definedName>
    <definedName name="_xlnm.Print_Area" localSheetId="4">'Finansiranje'!$A$1:$D$45</definedName>
    <definedName name="_xlnm.Print_Area" localSheetId="6">'Funkc. kl.'!$A$1:$G$22</definedName>
    <definedName name="_xlnm.Print_Area" localSheetId="1">'opsti dio'!$A$1:$E$69</definedName>
    <definedName name="_xlnm.Print_Area" localSheetId="5">'Org'!$A$1:$H$608</definedName>
    <definedName name="_xlnm.Print_Titles" localSheetId="2">'B.pr. i prim. za nef. im.'!$1:$4</definedName>
    <definedName name="_xlnm.Print_Titles" localSheetId="3">'B.rash. i izdaci za nef. im.'!$1:$3</definedName>
    <definedName name="_xlnm.Print_Titles" localSheetId="4">'Finansiranje'!$1:$4</definedName>
    <definedName name="_xlnm.Print_Titles" localSheetId="1">'opsti dio'!$1:$4</definedName>
    <definedName name="_xlnm.Print_Titles" localSheetId="5">'Org'!$1:$4</definedName>
  </definedNames>
  <calcPr fullCalcOnLoad="1"/>
</workbook>
</file>

<file path=xl/sharedStrings.xml><?xml version="1.0" encoding="utf-8"?>
<sst xmlns="http://schemas.openxmlformats.org/spreadsheetml/2006/main" count="1360" uniqueCount="692">
  <si>
    <t>Трошкови репрезентације</t>
  </si>
  <si>
    <t>Помоћи појединцима</t>
  </si>
  <si>
    <t>Набавка опреме</t>
  </si>
  <si>
    <t>Број конта</t>
  </si>
  <si>
    <t>Порези на лична примања и приходе од самосталних дјелатности</t>
  </si>
  <si>
    <t>713111-112</t>
  </si>
  <si>
    <t>713113-114</t>
  </si>
  <si>
    <t>Порез на лична примања</t>
  </si>
  <si>
    <t>Порези на имовину</t>
  </si>
  <si>
    <t>Порез на добитке од игара на срећу</t>
  </si>
  <si>
    <t>Приходи од земљишне ренте</t>
  </si>
  <si>
    <t>Административне таксе</t>
  </si>
  <si>
    <t>Комуналне таксе</t>
  </si>
  <si>
    <t>Комунална такса за коришћење рекламних паноа</t>
  </si>
  <si>
    <t>Комунална такса за коришћење слободних површина за кампове, постављање шатора или друге облике привременог коришћења</t>
  </si>
  <si>
    <t>Накнаде по разним основама</t>
  </si>
  <si>
    <t xml:space="preserve">Средства за финансирање посебних мјера заштите од пожара </t>
  </si>
  <si>
    <t xml:space="preserve">Новчане казне </t>
  </si>
  <si>
    <t>Остали непорески приходи</t>
  </si>
  <si>
    <t>Трошкови текућег одржавања</t>
  </si>
  <si>
    <t xml:space="preserve">Главна група </t>
  </si>
  <si>
    <t>0111</t>
  </si>
  <si>
    <t>Трошкови  репрезентације</t>
  </si>
  <si>
    <t>0160</t>
  </si>
  <si>
    <t>0912</t>
  </si>
  <si>
    <t>0922</t>
  </si>
  <si>
    <t>1090</t>
  </si>
  <si>
    <t>Финансирање Црвеног крста</t>
  </si>
  <si>
    <t>0810</t>
  </si>
  <si>
    <t>0820</t>
  </si>
  <si>
    <t>0740</t>
  </si>
  <si>
    <t>0620</t>
  </si>
  <si>
    <t>0180</t>
  </si>
  <si>
    <t>0660</t>
  </si>
  <si>
    <t>Крпање ударних рупа на улицама</t>
  </si>
  <si>
    <t>170-02 Програм текућег одржавања путева</t>
  </si>
  <si>
    <t>0451</t>
  </si>
  <si>
    <t>Трошкови санације ударних рупа</t>
  </si>
  <si>
    <t>Трошкови саобраћајне сигнализације</t>
  </si>
  <si>
    <t>0840</t>
  </si>
  <si>
    <t xml:space="preserve">Трошкови репрезентације </t>
  </si>
  <si>
    <t>Едукација пољопривредних произвођача</t>
  </si>
  <si>
    <t>0421</t>
  </si>
  <si>
    <t>Трошкови социјалне заштите</t>
  </si>
  <si>
    <t>Здравствена заштита</t>
  </si>
  <si>
    <t>Новчане помоћи</t>
  </si>
  <si>
    <t>Смјештај штићеника у породицу</t>
  </si>
  <si>
    <t>Проширени видови социјалне заштите</t>
  </si>
  <si>
    <t>Остала социјална заштита</t>
  </si>
  <si>
    <t>0921</t>
  </si>
  <si>
    <t>0911</t>
  </si>
  <si>
    <t>0320</t>
  </si>
  <si>
    <t>0170</t>
  </si>
  <si>
    <t>Накнада за кориштење комуналних добара од општег интереса - комунална накнада</t>
  </si>
  <si>
    <t>Број 
конта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</si>
  <si>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</si>
  <si>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</si>
  <si>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</si>
  <si>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</si>
  <si>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</si>
  <si>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</si>
  <si>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</si>
  <si>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</si>
  <si>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</si>
  <si>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Опште јавне услуге</t>
  </si>
  <si>
    <t>Одбрана</t>
  </si>
  <si>
    <t>Јавни ред и сигурност</t>
  </si>
  <si>
    <t>Економски послови</t>
  </si>
  <si>
    <t>Заштита човјекове околине</t>
  </si>
  <si>
    <t>Стамбени и заједнички послови</t>
  </si>
  <si>
    <t>Здравство</t>
  </si>
  <si>
    <t>Рекреација, култура и религија</t>
  </si>
  <si>
    <t>Образовање</t>
  </si>
  <si>
    <t>Социјална заштита</t>
  </si>
  <si>
    <t xml:space="preserve">Укупни расходи за потрошачку
 јединицу бр.  00750140 </t>
  </si>
  <si>
    <t>Укупни расходи за потрошачку
 јединицу бр.  00750110</t>
  </si>
  <si>
    <t>Укупни расходи за потрошачку
 јединицу бр.  00750120</t>
  </si>
  <si>
    <t>Укупни расходи за потрошачку
 јединицу бр.  00750130</t>
  </si>
  <si>
    <t>Укупни расходи за потрошачку
 јединицу бр.  00750170</t>
  </si>
  <si>
    <t>Укупни расходи за потрошачку
 јединицу бр.  00750180</t>
  </si>
  <si>
    <t>Укупни расходи за потрошачку
 јединицу бр.  00750220</t>
  </si>
  <si>
    <t>Укупни расходи за потрошачку
 јединицу бр.  00750250</t>
  </si>
  <si>
    <t>Укупни расходи за потрошачку
 јединицу бр.  00750240</t>
  </si>
  <si>
    <t>Укупни расходи за потрошачку
 јединицу бр.  00750300</t>
  </si>
  <si>
    <t>Укупни расходи за потрошачку
 јединицу бр.  08150026</t>
  </si>
  <si>
    <t>Укупни расходи за потрошачку
 јединицу бр.  08150027</t>
  </si>
  <si>
    <t>Укупни расходи за потрошачку
 јединицу бр.  08180011</t>
  </si>
  <si>
    <t>Укупни расходи за потрошачку
 јединицу бр.  00750400</t>
  </si>
  <si>
    <t>Удружење пензионера</t>
  </si>
  <si>
    <t>Накнаде одборника и чланова скупштинских комисија</t>
  </si>
  <si>
    <t>Чланарина у Савезу општина и градова</t>
  </si>
  <si>
    <t>Буџетска резерва</t>
  </si>
  <si>
    <t>Услуге из области информисања - медијско праћење</t>
  </si>
  <si>
    <t>Средства за једнократне помоћи</t>
  </si>
  <si>
    <t>Трошкови Комисије за преглед пројектне документације, технички пријем објеката и друге комисије</t>
  </si>
  <si>
    <t>Израда  регулационих и урбанистичких планова, пројеката, програма и студија</t>
  </si>
  <si>
    <t>Програм превентивне здравствене заштите становништва</t>
  </si>
  <si>
    <t>Трошкови противградне заштите</t>
  </si>
  <si>
    <t>Смјештај штићеника у установе социјалне заштите</t>
  </si>
  <si>
    <t>Додатак за помоћ и његу</t>
  </si>
  <si>
    <t>Средства за трошкове рада првостепене љекарске комисије за оцјену инвалидности</t>
  </si>
  <si>
    <t>Tрошкови мртвозорника</t>
  </si>
  <si>
    <t>Трошкови банкарских услуга</t>
  </si>
  <si>
    <t>Помоћ удружењима из области културе и осталим удружењима</t>
  </si>
  <si>
    <t>Помоћ удружењима националних мањина</t>
  </si>
  <si>
    <t>Индекс</t>
  </si>
  <si>
    <t>Програм коришћења новчаних средстава прикупљених од посебних водних накнада</t>
  </si>
  <si>
    <t>Израда елабората, студија, пројеката из намјенских средстава за воде</t>
  </si>
  <si>
    <t>Средства за мјере превентивне здравствене заштите животиња</t>
  </si>
  <si>
    <t>% 
учешћа</t>
  </si>
  <si>
    <t>Трошкови хоризонталне и вертикалне сигнализације и одржавање семафора</t>
  </si>
  <si>
    <t>Трошкови одржавања спомен-обиљежја у мјесним заједницама</t>
  </si>
  <si>
    <t>Средства за финансирање мјесних заједница</t>
  </si>
  <si>
    <t>Расходи за лична примања</t>
  </si>
  <si>
    <t>Расходи по основу коришћења роба и услуга</t>
  </si>
  <si>
    <t>Расходи по основу закупа</t>
  </si>
  <si>
    <t>Расходи по основу утрошка енергије, комуналних, комуникационих и транспортних услуга</t>
  </si>
  <si>
    <t>Расходи за режијски материјал</t>
  </si>
  <si>
    <t>Расходи за материјал за посебне намјене</t>
  </si>
  <si>
    <t>Расходи за текуће одржавање</t>
  </si>
  <si>
    <t>Расходи по основу путовања и смјештаја</t>
  </si>
  <si>
    <t>Расходи за стручне услуге</t>
  </si>
  <si>
    <t>Расходи за услуге одржавања јавних површина и заштите животне средине</t>
  </si>
  <si>
    <t>Остали непоменути расходи</t>
  </si>
  <si>
    <t>Расходи финансирања и други финансијски трошкови</t>
  </si>
  <si>
    <t>Расходи по основу камата на примљене зајмове у земљи</t>
  </si>
  <si>
    <t>Расходи по основу камата на примљене зајмове из иностранства</t>
  </si>
  <si>
    <t>Трошкови сервисирања примљених зајмова</t>
  </si>
  <si>
    <t>Грантови</t>
  </si>
  <si>
    <t>Грантови у земљи</t>
  </si>
  <si>
    <t>Издаци за произведену сталну имовину</t>
  </si>
  <si>
    <t>Издаци за изградњу и прибављање зграда и објеката</t>
  </si>
  <si>
    <t>Издаци за инвестиционо одржавање, реконструкцију и адаптацију зграда и објеката</t>
  </si>
  <si>
    <t>Издаци за набавку постројења и опреме</t>
  </si>
  <si>
    <t>Издаци за отплату дугова</t>
  </si>
  <si>
    <t>Уговорене услуге - ИСО стандард</t>
  </si>
  <si>
    <t>Расходи за стручно усавршавање запослених</t>
  </si>
  <si>
    <t>Трошкови одржавања лиценци за трезорско пословање</t>
  </si>
  <si>
    <t>Помоћ основним школама</t>
  </si>
  <si>
    <t xml:space="preserve">Инвестиционо  одржавање, реконструкција и адаптација зграда и објеката  </t>
  </si>
  <si>
    <t>Инвестиционо  одржавање, реконструкција и адаптација зграда и објеката</t>
  </si>
  <si>
    <t>Издаци за отплату главнице примљених зајмова у земљи</t>
  </si>
  <si>
    <t>0941</t>
  </si>
  <si>
    <t>Порези на промет производа и услуга</t>
  </si>
  <si>
    <t>Приходи од финансијске и нефинансијске имовине</t>
  </si>
  <si>
    <t>Приходи од закупа и ренте</t>
  </si>
  <si>
    <t>Приходи од камата на готовину и готовинске еквиваленте</t>
  </si>
  <si>
    <t>Накнаде, таксе и приходи од пружања јавних услуга</t>
  </si>
  <si>
    <t>Комунална такса на остале предмете таксирања</t>
  </si>
  <si>
    <t>Примици за непроизведену сталну имовину</t>
  </si>
  <si>
    <t>Примици од продаје земљишта</t>
  </si>
  <si>
    <t>0630</t>
  </si>
  <si>
    <t>1040</t>
  </si>
  <si>
    <t>0474</t>
  </si>
  <si>
    <t>0490</t>
  </si>
  <si>
    <t>Примици од залиха робе</t>
  </si>
  <si>
    <t>Издаци за непроизведену сталну имовину</t>
  </si>
  <si>
    <t>Издаци за прибављање земљишта</t>
  </si>
  <si>
    <t>Издаци за залихе робе</t>
  </si>
  <si>
    <t>Трошкови премјера и успостављања катастра непокретности  и остале стручне услуге</t>
  </si>
  <si>
    <t>Геодетске и остале стручне услуге</t>
  </si>
  <si>
    <t>Расходи за стручне услуге Центра за културу</t>
  </si>
  <si>
    <t>Примици за произведену сталну имовину</t>
  </si>
  <si>
    <t>Грантови из земље</t>
  </si>
  <si>
    <t>Набавка грађевинског материјала за изградњу пропуста, мостова и других објеката</t>
  </si>
  <si>
    <t>Субвенције</t>
  </si>
  <si>
    <t>Подстицаји пољопривредним произвођачима</t>
  </si>
  <si>
    <t>Укупни расходи за потрошачку
 јединицу бр.  9999999</t>
  </si>
  <si>
    <t>Средства за стипендије ученика и студената</t>
  </si>
  <si>
    <t>Регресирање камата на  пољопривредне кредите</t>
  </si>
  <si>
    <t>Трошкови уређења града за празничне дане</t>
  </si>
  <si>
    <t>Финансирање рада клубова одборника</t>
  </si>
  <si>
    <t>Трошкови вјенчања</t>
  </si>
  <si>
    <t>Средства за збрињавање и нешкодљиво одстрањивање паса луталица - азил</t>
  </si>
  <si>
    <t>Трошкови ископа, чишћења канала и других земљаних радова</t>
  </si>
  <si>
    <t>Порези на доходак</t>
  </si>
  <si>
    <t xml:space="preserve">Чланарина у Европском покрету у БиХ </t>
  </si>
  <si>
    <t xml:space="preserve">170-01 Програм заједничке комуналне потрошње </t>
  </si>
  <si>
    <t>Средства за организовање парастоса погинулим борцима ВРС у мјесним заједницама</t>
  </si>
  <si>
    <t>Помоћи вјерским заједницама (Заштита културно - историјског наслијеђа)</t>
  </si>
  <si>
    <t>Помоћ пројектима за одржив повратак</t>
  </si>
  <si>
    <t>******</t>
  </si>
  <si>
    <t>Новчане помоћи које се финансирају из буџета РС</t>
  </si>
  <si>
    <t>Додатак за помоћ и његу који се финансира из буџета РС</t>
  </si>
  <si>
    <t>Здравствена заштита која се финансира из буџета РС</t>
  </si>
  <si>
    <t>%
учешћа</t>
  </si>
  <si>
    <t>Средства за санацију штета од елементарних непогода</t>
  </si>
  <si>
    <t>Удружење СУБНОР-а</t>
  </si>
  <si>
    <t xml:space="preserve"> </t>
  </si>
  <si>
    <t>Средства за превоз ђака основних школа</t>
  </si>
  <si>
    <t>Фун. код</t>
  </si>
  <si>
    <t>О П И С</t>
  </si>
  <si>
    <t>Укупни расходи за потрошачку
 јединицу бр. 00750190</t>
  </si>
  <si>
    <t>УКУПНИ РАСХОДИ И ИЗДАЦИ:</t>
  </si>
  <si>
    <t>Укупни расходи за потрошачку
 јединицу бр. 00750150</t>
  </si>
  <si>
    <t>Финансирање политичких партија</t>
  </si>
  <si>
    <t>Средства за пројекат "Дневни центар за дјецу и омладину ометену у физичком и психичком развоју" Прњавор</t>
  </si>
  <si>
    <t>Укупни расходи за потрошачку
 јединицу бр. 00750160</t>
  </si>
  <si>
    <t>Фун. 
код</t>
  </si>
  <si>
    <t>Н А З И В     Ф У Н К Ц И Ј Е</t>
  </si>
  <si>
    <t xml:space="preserve"> I  ПОРЕСКИ ПРИХОДИ</t>
  </si>
  <si>
    <t>Порез на приходе од пољопривреде и шумарства</t>
  </si>
  <si>
    <t>Порез на приходе од обављања самосталне дјелатности</t>
  </si>
  <si>
    <t xml:space="preserve"> II  НЕПОРЕСКИ ПРИХОДИ</t>
  </si>
  <si>
    <t>Приход од закупнине земљишта</t>
  </si>
  <si>
    <t xml:space="preserve">Приходи од камата на депозитна средства </t>
  </si>
  <si>
    <t>Накнада за коришћење минералних сировина</t>
  </si>
  <si>
    <t>Накнада за промјену намјене пољопривредног земљишта</t>
  </si>
  <si>
    <t xml:space="preserve"> III  ГРАНТОВИ</t>
  </si>
  <si>
    <t xml:space="preserve">Средства из буџета Републике Српске  за провођење Закона о социјалној заштити </t>
  </si>
  <si>
    <t xml:space="preserve"> I  ПРИМИЦИ ЗА НЕФИНАНСИЈСКУ ИМОВИНУ</t>
  </si>
  <si>
    <t>Трошкови текућег одржавања објеката у мјесним заједницама</t>
  </si>
  <si>
    <t>Трошкови обиљежавања значајних датума у мјесним заједницама</t>
  </si>
  <si>
    <t>Издаци за инвестиционо одржавање опреме</t>
  </si>
  <si>
    <t>Издаци за прибављање земљишта (потпуна експропријација)</t>
  </si>
  <si>
    <t>Трошкови закупнине паркинг простора</t>
  </si>
  <si>
    <t>Трошкови услуга контроле и наплате комуналне таксе за паркирање возила</t>
  </si>
  <si>
    <t>Накнада за обављање послова од општег интереса у шумама у приватној својини</t>
  </si>
  <si>
    <t>Набавка материјала за МЗ</t>
  </si>
  <si>
    <t>ЈУ Центар средњих школа "Иво Андрић" Прњавор</t>
  </si>
  <si>
    <t>Поклон пакети за дјецу нижег узраста</t>
  </si>
  <si>
    <t>Једнократне новчане помоћи појединцима из борачке популације</t>
  </si>
  <si>
    <t>ЈУ Гимназија Прњавор</t>
  </si>
  <si>
    <t>Средства за подстицај и развој спорта</t>
  </si>
  <si>
    <t>Издаци за залихе ситног инвентара, ауто-гума, одјеће, обуће и сл.</t>
  </si>
  <si>
    <t>Мјере за побољшање демографске ситуације (вантјелесна оплодња и сл.)</t>
  </si>
  <si>
    <t>Функц. код</t>
  </si>
  <si>
    <t xml:space="preserve"> A) БУЏЕТСКИ ПРИХОДИ ( I+II+III+IV ) </t>
  </si>
  <si>
    <t xml:space="preserve"> I ТЕКУЋИ РАСХОДИ </t>
  </si>
  <si>
    <t xml:space="preserve"> В) БРУТО БУЏЕТСКИ СУФИЦИТ/ДЕФИЦИТ ( А-Б ) </t>
  </si>
  <si>
    <t xml:space="preserve"> Г) НЕТО ИЗДАЦИ ЗА НЕФИНАНСИЈСКУ ИМОВИНУ (I-II)</t>
  </si>
  <si>
    <t>Примици од залиха материјала, учинaка, робе и ситног инвентара, амбалаже и сл.</t>
  </si>
  <si>
    <t>II ИЗДАЦИ ЗА НЕФИНАНСИЈСКУ ИМОВИНУ</t>
  </si>
  <si>
    <t xml:space="preserve"> Д) БУЏЕТСКИ СУФИЦИТ/ДЕФИЦИТ (В+Г)</t>
  </si>
  <si>
    <t xml:space="preserve"> Е) НЕТО ПРИМИЦИ ОД ФИНАНСИЈСКЕ ИМОВИНЕ (I-II)</t>
  </si>
  <si>
    <t>I ПРИМИЦИ ОД ФИНАНСИЈСКЕ ИМОВИНЕ</t>
  </si>
  <si>
    <t>Примици од финансијске имовине</t>
  </si>
  <si>
    <t>II ИЗДАЦИ ЗА ФИНАНСИЈСКУ ИМОВИНУ</t>
  </si>
  <si>
    <t>Издаци за финансијску имовину</t>
  </si>
  <si>
    <t xml:space="preserve"> Ж) НЕТО ЗАДУЖИВАЊЕ (I-II)</t>
  </si>
  <si>
    <t>II ИЗДАЦИ ЗА ОТПЛАТУ ДУГОВА</t>
  </si>
  <si>
    <t xml:space="preserve"> А) НЕТО ПРИМИЦИ ОД ФИНАНСИЈСКЕ ИМОВИНЕ  ( I-II )</t>
  </si>
  <si>
    <t>I ПРИМИЦИ ОД ЗАДУЖИВАЊА</t>
  </si>
  <si>
    <t xml:space="preserve"> Б)  ПРИМИЦИ ЗА НЕФИНАНСИЈСКУ ИМОВИНУ</t>
  </si>
  <si>
    <t xml:space="preserve">В) УКУПНИ БУЏЕТСКИ ПРИХОДИ И ПРИМИЦИ ЗА НЕФИНАНСИЈСКУ ИМОВИНУ ( А+Б ) </t>
  </si>
  <si>
    <t>В) УКУПНИ  БУЏЕТСКИ РАСХОДИ 
    И  ИЗДАЦИ ЗА НЕФИНАНСИЈСКУ ИМОВИНУ ( А+Б )</t>
  </si>
  <si>
    <t>Укупни расходи за потрошачку
 јединицу бр.  00750125</t>
  </si>
  <si>
    <t>****</t>
  </si>
  <si>
    <t>Укупни расходи за потрошачку 
јединицу бр. 08180068</t>
  </si>
  <si>
    <t>Уређење корита ријека и потока из намјенских средстава за воде</t>
  </si>
  <si>
    <t>Средства за обуку структура заштите и спасавања</t>
  </si>
  <si>
    <t>Набавка опреме - цивилна заштита</t>
  </si>
  <si>
    <t>Средства за такмичење ученика</t>
  </si>
  <si>
    <t>Средства за одржавање Фестивала националних мањина "Мала Европа" Прњавор</t>
  </si>
  <si>
    <t>Удружење Вукова са Вучијака</t>
  </si>
  <si>
    <t>Б) НЕТО ЗАДУЖИВАЊЕ ( I-II )</t>
  </si>
  <si>
    <t>Издаци за залихе материјала, робе и ситног инвентара, 
амбалаже и сл.</t>
  </si>
  <si>
    <t>Концесионе накнаде за коришћење природних и других добара од општег интереса</t>
  </si>
  <si>
    <t>Комунална такса на фирму</t>
  </si>
  <si>
    <t>Комунална такса за коришћење простора на јавним површинама или испред пословног  простора у пословне сврхе</t>
  </si>
  <si>
    <t>Комунална такса за коришћење витрина за излагање роба ван пословне просторије</t>
  </si>
  <si>
    <t>Издаци за залихе материјала, робе и ситног инвентара</t>
  </si>
  <si>
    <t>Издаци за залихе ситног инвентара, одјеће и обуће</t>
  </si>
  <si>
    <t>Изградња и реконструкција градских улица, путне и канализационе мреже, школских и других објеката,  јавне расвјете, и израда и ревизија пројектне документације</t>
  </si>
  <si>
    <t>*******</t>
  </si>
  <si>
    <t>Примици од зајмова узетих од банака</t>
  </si>
  <si>
    <t>Инвестиционо одржавање опреме</t>
  </si>
  <si>
    <t>Издаци за отплату осталих дугова</t>
  </si>
  <si>
    <t>Издаци за залихе материјала, робе и ситног инвентара, амбалаже и сл.</t>
  </si>
  <si>
    <t>Капиталне инвестиције из домаћих прихода</t>
  </si>
  <si>
    <t>Неутрошена намјенска средства од посебних накнада за воде из ранијих година</t>
  </si>
  <si>
    <t>Неутрошена намјенска средства за финансирање посебних мјера заштите од пожара из ранијих година</t>
  </si>
  <si>
    <t>Издаци за потенцијалне обавезе по основу издатих гаранција</t>
  </si>
  <si>
    <t>Средства за оперативно спровођење мјера и активности цивилне заштите у систему заштите и спасавања</t>
  </si>
  <si>
    <t>Средства за трошкове превоза породица погинулих бораца и РВИ (Програм бањске рехабилитације и обиљежавања значајних датума)</t>
  </si>
  <si>
    <t>План утрошка новчаних средстава која потичу од прихода од посебних намјена за шуме</t>
  </si>
  <si>
    <t>Индиректни порези прикупљени преко УИО</t>
  </si>
  <si>
    <t>Остали порески приходи</t>
  </si>
  <si>
    <t xml:space="preserve"> IV  ТРАНСФЕРИ ИЗМЕЂУ ИЛИ УНУТАР ЈЕДИНИЦА ВЛАСТИ</t>
  </si>
  <si>
    <t>Трансфери између  различитих јединица власти</t>
  </si>
  <si>
    <t>Расходи финансирања, други финансијски трошкови и расходи трансакција размјене између или унутар јединица власти</t>
  </si>
  <si>
    <t>Расходи по судским рјешењима</t>
  </si>
  <si>
    <t xml:space="preserve"> Б) БУЏЕТСКИ РАСХОДИ ( I+II+III) </t>
  </si>
  <si>
    <t xml:space="preserve"> III БУЏЕТСКА РЕЗЕРВА</t>
  </si>
  <si>
    <t>II ТРАНСФЕРИ ИЗМЕЂУ И УНУТАР ЈЕДИНИЦА ВЛАСТИ</t>
  </si>
  <si>
    <t xml:space="preserve"> Ђ) НЕТО ФИНАНСИРАЊЕ (Е+Ж+З+И)</t>
  </si>
  <si>
    <t>З) ОСТАЛИ НЕТО ПРИМИЦИ (I-II)</t>
  </si>
  <si>
    <t>I) ОСТАЛИ ПРИМИЦИ</t>
  </si>
  <si>
    <t>Остали примици</t>
  </si>
  <si>
    <t>II) ОСТАЛИ ИЗДАЦИ</t>
  </si>
  <si>
    <t>Остали издаци</t>
  </si>
  <si>
    <t>Ј) РАЗЛИКА У ФИНАНСИРАЊУ (Д+Ђ)</t>
  </si>
  <si>
    <t>Трансфери између  различитих јединица 
власти</t>
  </si>
  <si>
    <t>Расходи за бруто плате запослених</t>
  </si>
  <si>
    <t>Расходи за отпремнине и једнократне помоћи (бруто)</t>
  </si>
  <si>
    <t>Остали издаци из трансакција између или унутар јединица власти</t>
  </si>
  <si>
    <t>Издаци за накнаде плата за породиљско одсуство и за вријеме боловања који се рефундирају од фондова обавезног социјалног осигурања</t>
  </si>
  <si>
    <t>Расходи за лична примања запослених</t>
  </si>
  <si>
    <t>Расходи за бруто накнаде трошкова и осталих личних примања запослених по основу рада</t>
  </si>
  <si>
    <t>Остали некласификовани расходи</t>
  </si>
  <si>
    <t>Трансфери фондовима обавезног социјалног осигурања</t>
  </si>
  <si>
    <t xml:space="preserve"> II ТРАНСФЕРИ ИЗМЕЂУ И УНУТАР ЈЕДИНИЦА ВЛАСТИ</t>
  </si>
  <si>
    <t>А)  БУЏЕТСКИ РАСХОДИ  ( I + II + III )</t>
  </si>
  <si>
    <t>В) ОСТАЛИ НЕТО ПРИМИЦИ  (I-II )</t>
  </si>
  <si>
    <t>I ОСТАЛИ ПРИМИЦИ</t>
  </si>
  <si>
    <t>II ОСТАЛИ ИЗДАЦИ</t>
  </si>
  <si>
    <t>ФИНАНСИРАЊЕ (А+Б+В+Г)</t>
  </si>
  <si>
    <t>УКУПНО:</t>
  </si>
  <si>
    <t xml:space="preserve"> I ТЕКУЋИ РАСХОДИ</t>
  </si>
  <si>
    <t xml:space="preserve"> Б) ИЗДАЦИ ЗА НЕФИНАНСИЈСКУ ИМОВИНУ </t>
  </si>
  <si>
    <t>Расходи по основу дневница за службена путовања</t>
  </si>
  <si>
    <t>Порези на имовину - порез на непокретности</t>
  </si>
  <si>
    <t>Трансфери осталим јединицама власти</t>
  </si>
  <si>
    <t>Трансфери између различитих јединица власти</t>
  </si>
  <si>
    <t>Трансфер Министарства здравља и социјалне заштите РС Центру за социјални рад за право на подршку у изједначавању могућности дјеце и омладине са сметњама у развоју</t>
  </si>
  <si>
    <t>Финансирање Кола српских сестара Прњавор</t>
  </si>
  <si>
    <t>Финансирање СРД "Укрински цвијет" Прњавор</t>
  </si>
  <si>
    <t>0860</t>
  </si>
  <si>
    <t xml:space="preserve">Удружење грађана  "Ветерани Републике Српске" </t>
  </si>
  <si>
    <t>Посебна републичка такса на нафтне деривате</t>
  </si>
  <si>
    <t>Остали непоменути расходи - припрема дјеце за полазак у школу из дозначене помоћи Министарства просвјете и културе РС</t>
  </si>
  <si>
    <t>Расходи по основу судских рјешења</t>
  </si>
  <si>
    <t>Трансфери јединицама локалне самоуправе</t>
  </si>
  <si>
    <t>Отплата дуга по кредиту Краљевине Шпаније</t>
  </si>
  <si>
    <t>Остали издаци из трансакција са другим јединицама власти</t>
  </si>
  <si>
    <t>Трансфери ентитету</t>
  </si>
  <si>
    <t xml:space="preserve">Остали издаци из трансакција између или унутар јединица власти </t>
  </si>
  <si>
    <t>411000</t>
  </si>
  <si>
    <t>412000</t>
  </si>
  <si>
    <t>Укупни расходи за потрошачку
 јединицу бр.  08400005</t>
  </si>
  <si>
    <t>ЈУ Музичка школа "Константин Бабић" Прњавор</t>
  </si>
  <si>
    <t>Остали примици из трансакција између или унутар јединица власти</t>
  </si>
  <si>
    <t>Примици за накнаде плата за породиљско одсуство и за вријеме боловања који се рефундирају од фондова обавезног социјалног осигурања</t>
  </si>
  <si>
    <t>Остали издаци (рефундација прихода по основу књижних обавјештења добијених од Пореске управе)</t>
  </si>
  <si>
    <t>Остали издаци ( поврат/прекњижавање прихода наплаћених у претходној или ранијим годинама)</t>
  </si>
  <si>
    <t>Остали издаци (поврат/прекњижавање прихода наплаћених у претходној или ранијим годинама)</t>
  </si>
  <si>
    <t>Трансфери од ентитета  (поравнање јавних прихода по записницима Пореске управе)</t>
  </si>
  <si>
    <t>419000</t>
  </si>
  <si>
    <t>513000</t>
  </si>
  <si>
    <t>Трошкови обештећења по судским  пресудама и трошкови поступка</t>
  </si>
  <si>
    <t>Обавезе према осталим корисницима јавних прихода по основу записника ПУ РС по обрачуну и поравнању више и погрешно уплаћених јавних прихода</t>
  </si>
  <si>
    <t>Обавезе између јединица власти по основу записника Пореске управе РС о обрачуну и поравнању више и погрешно уплаћених јавних прихода</t>
  </si>
  <si>
    <t>Камата на кредит од 7.000.000,00 КМ</t>
  </si>
  <si>
    <t>Отплата дуга по кредиту од 7.000,000,00 КМ</t>
  </si>
  <si>
    <t>714111-714311</t>
  </si>
  <si>
    <t>Трансфери од јединица локалнe самоуправe  (поравнање јавних прихода по записницима Пореске управе)</t>
  </si>
  <si>
    <t>ЈУ Центар за социјални рад Прњавор</t>
  </si>
  <si>
    <t>ЈУ Дјечији вртић "Наша радост" Прњавор</t>
  </si>
  <si>
    <t>ЈУ Народна библиотека Прњавор</t>
  </si>
  <si>
    <t>Табела бр. 1</t>
  </si>
  <si>
    <t>Функција</t>
  </si>
  <si>
    <t>ЗУ</t>
  </si>
  <si>
    <t>Заједничке услуге</t>
  </si>
  <si>
    <t>ИУ</t>
  </si>
  <si>
    <t>Индивидуалне услуге</t>
  </si>
  <si>
    <t>Табела бр. 2</t>
  </si>
  <si>
    <t>Грант КП,,Водовод" АД - набавка опреме</t>
  </si>
  <si>
    <t>Расходи по основу организације, пријема, манифестација и остали расходи</t>
  </si>
  <si>
    <t>Трансфери од фондова обавезног социјалног осигурања (поравнање јавних прихода по записницима Пореске управе)</t>
  </si>
  <si>
    <t>Трансфер Фонду солидарности за дијагностику и лијечење обољења, стања и повреда дјеце у иностранству</t>
  </si>
  <si>
    <t>Расходи финансирања и други финансијски трошкови између јединица власти</t>
  </si>
  <si>
    <t>Издаци за отплату дугова из трансакција између или унутар јединица власти</t>
  </si>
  <si>
    <t>Издаци за отплату главнице зајмова примљених од других јединица власти</t>
  </si>
  <si>
    <t>Расходи по основу камата на зајмове примљене од других јединица власти</t>
  </si>
  <si>
    <t>Издаци за отплату дугова према другим јединицама власти</t>
  </si>
  <si>
    <t>Примици од задуживања</t>
  </si>
  <si>
    <t xml:space="preserve">Издаци за отплату дугова </t>
  </si>
  <si>
    <t>Трошкови одржавања локалне путне мреже (набавка, превоз и уградња посипног материјала, гредер)</t>
  </si>
  <si>
    <t>0412</t>
  </si>
  <si>
    <t>Средства за студентске награде - посебни резултати током школовања</t>
  </si>
  <si>
    <t>170-03 План капиталних улагања</t>
  </si>
  <si>
    <t>Укупни расходи за потрошачку
 јединицу бр.  00750241</t>
  </si>
  <si>
    <t>Накнаде за воде - посебне водне накнаде 
(722442-722448, 722457, 722463, 722464, 722465, 722469)</t>
  </si>
  <si>
    <t>Расходи за накнаду плата запослених за вријеме боловања, родитељског одсуства и осталих накнада плата</t>
  </si>
  <si>
    <t>Расходи финансирања, други финансијски трошкови и расходи трансакција размјене између јединица власти</t>
  </si>
  <si>
    <t>1020</t>
  </si>
  <si>
    <t>Грантови из иностранства</t>
  </si>
  <si>
    <t>Трансфер Министарства просвјете и културе РС Дјечијем вртићу "Наша радост" за програм припреме дјеце за полазак у школу</t>
  </si>
  <si>
    <t>Накнаде за личну инвалиднину из средстава Министарства здравља и социјалне заштите</t>
  </si>
  <si>
    <t>Субвенције за легализацију бесправно изграђених објеката</t>
  </si>
  <si>
    <t>Расходи по основу закупа - пројекат "Наша продавница"</t>
  </si>
  <si>
    <t>Расходи за бруто накнаде члановима управног одбора</t>
  </si>
  <si>
    <t>Средства за реализацију акционог плана за равноправност полова</t>
  </si>
  <si>
    <t>И) РАСПОДЈЕЛА СУФИЦИТА ИЗ РАНИЈЕГ ПЕРИОДА</t>
  </si>
  <si>
    <t>Г) РАСПОДЈЕЛА СУФИЦИТА ИЗ РАНИЈЕГ ПЕРИОДА</t>
  </si>
  <si>
    <t>Издаци по основу аванса</t>
  </si>
  <si>
    <t>Акцизе</t>
  </si>
  <si>
    <t>Порези на промет производа</t>
  </si>
  <si>
    <t>Порези на промет услуга</t>
  </si>
  <si>
    <t>Трансфер Министарства здравља и социјалне заштите РС Центру за социјални рад за накнаде за личну инвалиднину</t>
  </si>
  <si>
    <t>Акциони план за имплементацију стратегије за инклузију Рома</t>
  </si>
  <si>
    <t>Расходи за материјал за текуће одржавање</t>
  </si>
  <si>
    <t>Обиљежавање Риболовног купа  РВИ</t>
  </si>
  <si>
    <t>Подка-
тегорија</t>
  </si>
  <si>
    <t>Изједначавање могућности дјеце и омладине са сметњама у развоју из средстава Министарства здравља и социјалне заштите</t>
  </si>
  <si>
    <t>Средства за имплементацију пројекта "Омладинска банка"</t>
  </si>
  <si>
    <t>Средства за студентске картице</t>
  </si>
  <si>
    <t>Укупни расходи за потрошачку
 јединицу бр.  00750126</t>
  </si>
  <si>
    <t>Средства за трошкове обиљежавања значајних датума (за трошкове вијенаца, цвијећа, свијећа и др.)</t>
  </si>
  <si>
    <t>Средства за боравак лица у локалном карантину</t>
  </si>
  <si>
    <t>Трошкови непотпуне експропријације, процјене, вјештачења, накнаде штета и слично</t>
  </si>
  <si>
    <t>Субвенције закупнине стамбених јединица социјалног становања</t>
  </si>
  <si>
    <t>Једнократна новчана помоћ комуналним полицајцима из средстава Фонда солидарности за обнову РС</t>
  </si>
  <si>
    <t>Буџет за 
2021. годину</t>
  </si>
  <si>
    <t>Трошкови провођења избора за чланове Савјета мјесних заједница</t>
  </si>
  <si>
    <t>Помоћ сеоским водоводима из намјенских средстава за воде</t>
  </si>
  <si>
    <t>Сервисни трошкови школовања дјеце са сметњама у развоју</t>
  </si>
  <si>
    <t>Сервисни трошкови школовања дјеце са сметњама у развоју - смјештај у хранитељску породицу</t>
  </si>
  <si>
    <t>Трошкови сервисирања зајмова примљених у земљи</t>
  </si>
  <si>
    <t>Неутрошена намјенска средства од посебних накнада за шуме из ранијих година</t>
  </si>
  <si>
    <t>Субвенционисање комуналних такса  за истицање пословног имена</t>
  </si>
  <si>
    <t>Трансфери унутар исте јединице власти</t>
  </si>
  <si>
    <t>717111-717112</t>
  </si>
  <si>
    <r>
      <t xml:space="preserve">Трошкови репрезентације-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</si>
  <si>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Црвеног крста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</si>
  <si>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подстицај и развој спорта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</si>
  <si>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из области културе и осталим удружењима - </t>
    </r>
    <r>
      <rPr>
        <b/>
        <sz val="10"/>
        <rFont val="Times New Roman"/>
        <family val="1"/>
      </rPr>
      <t>буџетска резерва</t>
    </r>
  </si>
  <si>
    <r>
      <t xml:space="preserve">Финансирање Кола српских сестара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</si>
  <si>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удружењима националних мањина - </t>
    </r>
    <r>
      <rPr>
        <b/>
        <sz val="10"/>
        <rFont val="Times New Roman"/>
        <family val="1"/>
      </rPr>
      <t>буџетска резерва</t>
    </r>
  </si>
  <si>
    <r>
      <t xml:space="preserve">Помоћи вјерским заједницама (Заштита културно - историјског наслијеђа) - </t>
    </r>
    <r>
      <rPr>
        <b/>
        <sz val="10"/>
        <rFont val="Times New Roman"/>
        <family val="1"/>
      </rPr>
      <t>буџетска резерва</t>
    </r>
  </si>
  <si>
    <r>
      <t xml:space="preserve">Средства за пројекат "Дневни центар за дјецу и омладину ометену у физичком и психичком развоју" Прњавор - </t>
    </r>
    <r>
      <rPr>
        <b/>
        <sz val="10"/>
        <rFont val="Times New Roman"/>
        <family val="1"/>
      </rPr>
      <t>буџетска резерва</t>
    </r>
  </si>
  <si>
    <r>
      <t xml:space="preserve">Помоћ основним школама - </t>
    </r>
    <r>
      <rPr>
        <b/>
        <sz val="10"/>
        <rFont val="Times New Roman"/>
        <family val="1"/>
      </rPr>
      <t>буџетска резерва</t>
    </r>
  </si>
  <si>
    <r>
      <t>Трошкови провизије за електронску наплату паркинга и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преноса података видео надзора</t>
    </r>
  </si>
  <si>
    <r>
      <t xml:space="preserve">Расходи за стручне услуге (извршење рјешења,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мониторинг загађујућих материја у животној средини)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</si>
  <si>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</si>
  <si>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Смјештај штићеника у установе социјалне заштите</t>
    </r>
    <r>
      <rPr>
        <sz val="10"/>
        <color indexed="10"/>
        <rFont val="Times New Roman"/>
        <family val="1"/>
      </rPr>
      <t xml:space="preserve"> - </t>
    </r>
    <r>
      <rPr>
        <sz val="10"/>
        <rFont val="Times New Roman"/>
        <family val="1"/>
      </rPr>
      <t>буџетске кориснике</t>
    </r>
  </si>
  <si>
    <r>
      <t xml:space="preserve">Набавка опреме - </t>
    </r>
    <r>
      <rPr>
        <b/>
        <sz val="10"/>
        <rFont val="Times New Roman"/>
        <family val="1"/>
      </rPr>
      <t>буџетска резерва</t>
    </r>
  </si>
  <si>
    <t>Утрошак намјенских средстава за финансирање посебних мјера заштите од пожара</t>
  </si>
  <si>
    <t xml:space="preserve">%
 учешћа </t>
  </si>
  <si>
    <t>Омладински центар Прњавор</t>
  </si>
  <si>
    <t>Накнаде члановима комисија</t>
  </si>
  <si>
    <t>Трошкови првостепених стручних комисија</t>
  </si>
  <si>
    <t>Финансирање "Родитељске куће"</t>
  </si>
  <si>
    <t>1011</t>
  </si>
  <si>
    <t>Остали комунални послови по наруџби (саднице,  канали, уређење и одржавање  зелених површина и спортских терена, објекти на путу, чишћење сливника, одржавање јавних извора и др.)</t>
  </si>
  <si>
    <t>Зимско одржавање локалних путева, улица, тротоара, тргова и др.</t>
  </si>
  <si>
    <t>Капиталне инвестиције из кредитних средстава</t>
  </si>
  <si>
    <t>Укупни расходи за потрошачку
 јединицу бр.  00750700</t>
  </si>
  <si>
    <t>Расходи за закуп зграда, објеката и превозних средстава</t>
  </si>
  <si>
    <t>Расходи за бруто накнаде ван радног времена</t>
  </si>
  <si>
    <t>413000</t>
  </si>
  <si>
    <t>418000</t>
  </si>
  <si>
    <t>Издаци за произведену  сталну имовину</t>
  </si>
  <si>
    <t>Издаци за залихе материјала,  робе и ситног инвентара,
амбалаже и сл.</t>
  </si>
  <si>
    <t>610000</t>
  </si>
  <si>
    <t>Издаци за отплату дугова из трансакција између или унутар јединице власти</t>
  </si>
  <si>
    <t>Расходи по основу камата на примљене зајмове у земљи 
(зајмови примљени од банака)</t>
  </si>
  <si>
    <t>511000</t>
  </si>
  <si>
    <t>Издаци за нематеријалну произведену имовину</t>
  </si>
  <si>
    <t>Издаци за набавку лиценци</t>
  </si>
  <si>
    <t>516000</t>
  </si>
  <si>
    <t>Издаци за залихе одјеће и остале залихе материјала</t>
  </si>
  <si>
    <t>621000</t>
  </si>
  <si>
    <t>628000</t>
  </si>
  <si>
    <t>631000</t>
  </si>
  <si>
    <t>638000</t>
  </si>
  <si>
    <t>Издаци за отплату главнице зајмова примљених из земље</t>
  </si>
  <si>
    <t>Издаци за отплату главнице примљених зајмова од Фонда</t>
  </si>
  <si>
    <t>Издаци по основу пореза на додату вриједност</t>
  </si>
  <si>
    <t>0720</t>
  </si>
  <si>
    <t>Приходи од партиципације</t>
  </si>
  <si>
    <t>Приходи од неосигураних лица</t>
  </si>
  <si>
    <t>Приходи по основу пружања амбулантних услуга</t>
  </si>
  <si>
    <t>Приходи по основу услуга иноосигураницима-конвенција</t>
  </si>
  <si>
    <t>Приходи по основу санитетског превоза</t>
  </si>
  <si>
    <t>Приходи по основу осталих здравствених услуга здравствене заштите</t>
  </si>
  <si>
    <t>Приходи по основу пружања услуга  дијализе</t>
  </si>
  <si>
    <t>Приходи по основу консултативно- специјалистичке здравствене заштите</t>
  </si>
  <si>
    <t xml:space="preserve">Приходи од финансијске и нефинансијске имовине и трансакција размјене унутар исте јединице власти </t>
  </si>
  <si>
    <r>
      <t xml:space="preserve">Приходи од  закупа  пословних простора - </t>
    </r>
    <r>
      <rPr>
        <b/>
        <sz val="10"/>
        <rFont val="Times New Roman"/>
        <family val="1"/>
      </rPr>
      <t>ЈЗУ Дом здравља</t>
    </r>
  </si>
  <si>
    <t>Расходи из трансакција размјене унутар исте јединице власти</t>
  </si>
  <si>
    <t xml:space="preserve">Комунална такса за коришћење простора за паркирање моторних, друмских и прикључних возила </t>
  </si>
  <si>
    <t>Подршка систему прихвата и интеграције држављана БиХ који се враћају по основу Споразума о реадмисији</t>
  </si>
  <si>
    <t>1070</t>
  </si>
  <si>
    <t>Приходи од пружања јавних услуга (А+Б+В)</t>
  </si>
  <si>
    <r>
      <t>Примици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</si>
  <si>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r>
      <t xml:space="preserve">Примици за накнаде плата за породиљско одсуство и за вријеме боловања који се рефундирају од фондова обавезног социјалног осигурања - </t>
    </r>
    <r>
      <rPr>
        <b/>
        <sz val="10"/>
        <rFont val="Times New Roman"/>
        <family val="1"/>
      </rPr>
      <t>ЈЗУ Дом здравља</t>
    </r>
  </si>
  <si>
    <t>Трошкови чишћења улица, тротоара и зелeних површина, трошкови прања улица и тротоара, кошења зелених површина, шишања живих ограда  и ванредни комунални послови по наруџби (сјечење растиња, одржавање дрвореда и сл.)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</si>
  <si>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Дјечији вртић " Наша радост" Прњавор
Број: 00750400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</si>
  <si>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Центар за социјални рад Прњавор
Број: 00750300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</si>
  <si>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пољопривреду, водопривреду и шумарство
Број: 00750250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</si>
  <si>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Одсјек за јавне  набавке, правна питања и прописе
Број: 00750241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</si>
  <si>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заједничке послове
Број: 00750240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</si>
  <si>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инспекцијске послове</t>
    </r>
    <r>
      <rPr>
        <sz val="11"/>
        <rFont val="Times New Roman"/>
        <family val="1"/>
      </rPr>
      <t xml:space="preserve">
 </t>
    </r>
    <r>
      <rPr>
        <b/>
        <sz val="11"/>
        <rFont val="Times New Roman"/>
        <family val="1"/>
      </rPr>
      <t xml:space="preserve">  Број: 00750220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</si>
  <si>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борачко-инвалидску заштиту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00750180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</si>
  <si>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стамбено- комуналне послове и инвестиције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00750170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</si>
  <si>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просторно уређење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00750160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</si>
  <si>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локални економски развој и друштвене дјелатности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00750150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</si>
  <si>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финансије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00750140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</si>
  <si>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Одјељење за општу управу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00750130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</si>
  <si>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Одсјек за цивилну заштиту
Број: 00750126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</si>
  <si>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Гимназија Прњавор
Број: 08150026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</si>
  <si>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средњих школа "Иво Андрић" Прњавор
Број: 08150027</t>
    </r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</si>
  <si>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ЈУ Народна библиотека Прњавор
Број: 08180068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</si>
  <si>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ЈУ Музичка школа "Константин Бабић " Прњавор
Број: 08400005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</si>
  <si>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Остала буџетска потрошња 
Број:  00750190</t>
    </r>
  </si>
  <si>
    <r>
      <t xml:space="preserve">Б) </t>
    </r>
    <r>
      <rPr>
        <b/>
        <sz val="10"/>
        <rFont val="Times New Roman"/>
        <family val="1"/>
      </rPr>
      <t>Приходи од пружања јавних услуга</t>
    </r>
    <r>
      <rPr>
        <b/>
        <i/>
        <sz val="10"/>
        <rFont val="Times New Roman"/>
        <family val="1"/>
      </rPr>
      <t xml:space="preserve"> -</t>
    </r>
    <r>
      <rPr>
        <b/>
        <sz val="10"/>
        <rFont val="Times New Roman"/>
        <family val="1"/>
      </rPr>
      <t>ЈУ Дом здравља Прњавор</t>
    </r>
  </si>
  <si>
    <t>В) Приходи од пружања јавних услуга - Остали буџетски корисници</t>
  </si>
  <si>
    <r>
      <t xml:space="preserve">Приходи од закупа унутар исте јединице власти - </t>
    </r>
    <r>
      <rPr>
        <b/>
        <sz val="10"/>
        <rFont val="Times New Roman"/>
        <family val="1"/>
      </rPr>
      <t>ЈЗУ Дом здравља</t>
    </r>
  </si>
  <si>
    <r>
      <t xml:space="preserve">Приходи из трансакција размјене унутар исте јединице власти - </t>
    </r>
    <r>
      <rPr>
        <b/>
        <sz val="10"/>
        <rFont val="Times New Roman"/>
        <family val="1"/>
      </rPr>
      <t>ЈЗУ Дом здравља</t>
    </r>
  </si>
  <si>
    <t>Контрол-РАСХОДИ</t>
  </si>
  <si>
    <t>Издаци-финансиранје</t>
  </si>
  <si>
    <r>
      <t>Набавка опреме</t>
    </r>
    <r>
      <rPr>
        <b/>
        <sz val="10"/>
        <color indexed="10"/>
        <rFont val="Times New Roman"/>
        <family val="1"/>
      </rPr>
      <t xml:space="preserve"> </t>
    </r>
  </si>
  <si>
    <t>Приходи од комерцијалних здравствених услуга</t>
  </si>
  <si>
    <t>Једнократне помоћи за свако рођено дијете</t>
  </si>
  <si>
    <t>Средства за пројекат "Старење и здравље"</t>
  </si>
  <si>
    <r>
      <rPr>
        <sz val="11"/>
        <rFont val="Times New Roman"/>
        <family val="1"/>
      </rPr>
      <t>Назив и број потрошачке јединице:</t>
    </r>
    <r>
      <rPr>
        <b/>
        <sz val="11"/>
        <rFont val="Times New Roman"/>
        <family val="1"/>
      </rPr>
      <t xml:space="preserve">
ЈЗУ Дом здравља Прњавор
Број: 00750700</t>
    </r>
  </si>
  <si>
    <t>Изградња водоводне мреже у МЗ Поточани</t>
  </si>
  <si>
    <t>Изградња инфраструктуре у Пословно-туристичкој зони "Вијака"</t>
  </si>
  <si>
    <t>Израда пројеката за водоводе мјесних заједница: Доњи Гаљиповци, Чорле, Насеобина Лишња, Бабановци, Хрваћани, Просјек, Мрачај-Отпочиваљка и Орашје-Ново Село</t>
  </si>
  <si>
    <r>
      <t>Трошкови обраде кредитне документације за примљене зајмове</t>
    </r>
    <r>
      <rPr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(5.мил.КМ)</t>
    </r>
  </si>
  <si>
    <t>Помоћ у реализацији пројеката заједница етажних власника</t>
  </si>
  <si>
    <t>Приходи и примици и финансирање</t>
  </si>
  <si>
    <t>Разлика (примици - расходи и издаци)</t>
  </si>
  <si>
    <t>Средства за рјешавање стамбеног питања породица погинулих бораца</t>
  </si>
  <si>
    <t>Реконструкција старе зграде општине и зграде Војног одсјека - Завичајног музеја Прњавор</t>
  </si>
  <si>
    <t xml:space="preserve">Субвенционисање набавке уџбеника за ученике основних школа </t>
  </si>
  <si>
    <t>Трошкови одржавања јавне расвјете (у граду и мјесним заједницама)</t>
  </si>
  <si>
    <t>Помоћ младима кроз старт-уп предузетништво</t>
  </si>
  <si>
    <r>
      <t xml:space="preserve">Назив и број потрошачке јединице:
</t>
    </r>
    <r>
      <rPr>
        <b/>
        <sz val="11"/>
        <rFont val="Times New Roman"/>
        <family val="1"/>
      </rPr>
      <t xml:space="preserve">Територијална ватрогасно-спасилачка јединица Прњавор
Број: 00750125 </t>
    </r>
  </si>
  <si>
    <t>0721</t>
  </si>
  <si>
    <r>
      <t>Једнократне новчане помоћи појединцима -</t>
    </r>
    <r>
      <rPr>
        <b/>
        <sz val="10"/>
        <rFont val="Times New Roman"/>
        <family val="1"/>
      </rPr>
      <t xml:space="preserve"> буџетска резерва</t>
    </r>
  </si>
  <si>
    <r>
      <t>Остали непоменути расходи -</t>
    </r>
    <r>
      <rPr>
        <b/>
        <sz val="10"/>
        <rFont val="Times New Roman"/>
        <family val="1"/>
      </rPr>
      <t xml:space="preserve"> буџетска резерва</t>
    </r>
  </si>
  <si>
    <r>
      <t xml:space="preserve">Остали непоменути расходи - </t>
    </r>
    <r>
      <rPr>
        <b/>
        <sz val="10"/>
        <rFont val="Times New Roman"/>
        <family val="1"/>
      </rPr>
      <t>буџетска резерва</t>
    </r>
  </si>
  <si>
    <r>
      <t>Издаци по основу аванса -</t>
    </r>
    <r>
      <rPr>
        <b/>
        <sz val="10"/>
        <rFont val="Times New Roman"/>
        <family val="1"/>
      </rPr>
      <t xml:space="preserve"> буџетска резерва</t>
    </r>
  </si>
  <si>
    <t>Текући грант појединцима - Средства за помоћ у лијечењу дјеце и младих обољелих од дијабетеса</t>
  </si>
  <si>
    <t>Расходи за таксе и накнаде за регистрацију</t>
  </si>
  <si>
    <t>Помоћ појединцима</t>
  </si>
  <si>
    <r>
      <t>Стипендије ученицима дефицитарних занимања -</t>
    </r>
    <r>
      <rPr>
        <b/>
        <sz val="10"/>
        <rFont val="Times New Roman"/>
        <family val="1"/>
      </rPr>
      <t xml:space="preserve"> из средстава
Министарства просвјете и културе</t>
    </r>
  </si>
  <si>
    <t>Трансфер Министарства просвјете и културе РС Центру средњих школа "Иво Андрић" за стипендије и превоз ученика дефицитарних занимања</t>
  </si>
  <si>
    <t>Примици од продаје сталне имовине намијењене продаји из обустављених пословања</t>
  </si>
  <si>
    <t>Примици од продаје сталне имовине  из обустављених пословања</t>
  </si>
  <si>
    <t>0510</t>
  </si>
  <si>
    <t>Набавка возила за одвоз комуналног отпада</t>
  </si>
  <si>
    <t>Средства за постдипломце и докторанте</t>
  </si>
  <si>
    <t>0942</t>
  </si>
  <si>
    <r>
      <t xml:space="preserve">Трансфер општине Прњавор </t>
    </r>
    <r>
      <rPr>
        <b/>
        <sz val="10"/>
        <rFont val="Times New Roman"/>
        <family val="1"/>
      </rPr>
      <t>ЈЗУ Дом здравља  Прњавор</t>
    </r>
  </si>
  <si>
    <t>Приходи и примици</t>
  </si>
  <si>
    <t>Расходи и издаци</t>
  </si>
  <si>
    <t>приходи</t>
  </si>
  <si>
    <t>расходи</t>
  </si>
  <si>
    <r>
      <t xml:space="preserve">Трошкови обиљежавања значајних датума у мјесним заједницама - </t>
    </r>
    <r>
      <rPr>
        <b/>
        <sz val="10"/>
        <rFont val="Times New Roman"/>
        <family val="1"/>
      </rPr>
      <t>буџетска резерва</t>
    </r>
  </si>
  <si>
    <t>5(4/3*100)</t>
  </si>
  <si>
    <t>6(5/4*100)</t>
  </si>
  <si>
    <t>7(6/5*100)</t>
  </si>
  <si>
    <t>4</t>
  </si>
  <si>
    <r>
      <t xml:space="preserve">Камата на кредит од </t>
    </r>
    <r>
      <rPr>
        <sz val="10"/>
        <rFont val="Times New Roman"/>
        <family val="1"/>
      </rPr>
      <t>5.000.000,00 КМ</t>
    </r>
  </si>
  <si>
    <r>
      <t>Отплата дуга по кредиту од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5.000.000,00 КМ</t>
    </r>
  </si>
  <si>
    <t>Расходи за бруто накнаде трошкова и осталих личних примања 
запослених по основу рада</t>
  </si>
  <si>
    <t>Расходи по основу утрошка енергије, комуналних, комуникационих и 
транспортних услуга</t>
  </si>
  <si>
    <t>Расходи текућег одржавања</t>
  </si>
  <si>
    <t>Остали некласификовани расходи из трансакција са другим јединицама власти</t>
  </si>
  <si>
    <t>Удружење родитеља са четворо и више дјеце</t>
  </si>
  <si>
    <t>Razlika</t>
  </si>
  <si>
    <t>Издаци за изградњу азила за псе</t>
  </si>
  <si>
    <r>
      <t>Удружење пензионера-</t>
    </r>
    <r>
      <rPr>
        <b/>
        <sz val="10"/>
        <rFont val="Times New Roman"/>
        <family val="1"/>
      </rPr>
      <t>буџетска резерва</t>
    </r>
  </si>
  <si>
    <t>Остали непоменути расходи - извршење рјешења за уклањање објекта</t>
  </si>
  <si>
    <t>Субвенције избјеглим и расељеним лицима у поступку уписивања права својине на изграђеном земљишту</t>
  </si>
  <si>
    <r>
      <t>Удружење СУБНОР-а-</t>
    </r>
    <r>
      <rPr>
        <b/>
        <sz val="10"/>
        <rFont val="Times New Roman"/>
        <family val="1"/>
      </rPr>
      <t>буџетска резерва</t>
    </r>
  </si>
  <si>
    <t>Изградња централног споменика и спомен обиљежја</t>
  </si>
  <si>
    <t>Приходи по основу израде медицинских средстава</t>
  </si>
  <si>
    <t>ТАБЕЛА 1. БУЏЕТ ГРАДА ПРЊАВОР ЗА 2024. ГОДИНУ
- ОПШТИ ДИО</t>
  </si>
  <si>
    <t>Буџет за
 2024. год.</t>
  </si>
  <si>
    <t>ТАБЕЛА 2. БУЏЕТ ГРАДА ПРЊАВОР ЗА 2024. ГОДИНУ
-БУЏЕТСКИ ПРИХОДИ И ПРИМИЦИ ЗА НЕФИНАНСИЈСКУ ИМОВИНУ</t>
  </si>
  <si>
    <t>Дознаке на име социјалне заштите које се исплаћују из буџета  града</t>
  </si>
  <si>
    <t>Приходи од закупа  пословних простора - Градска управа</t>
  </si>
  <si>
    <t>Градске административне таксе</t>
  </si>
  <si>
    <t>А) Приходи од пружања јавних услуга - Градских органа управе</t>
  </si>
  <si>
    <t>Приходи градских органа управе</t>
  </si>
  <si>
    <t>Накнада за коришћење шума и шумског земљишта - средства за развој неразвијених дијелова града остварена продајом шумских сортимената</t>
  </si>
  <si>
    <t xml:space="preserve">  ТАБЕЛА 3.  БУЏЕТ ГРАДА ПРЊАВОР ЗА 2024. ГОДИНУ
-БУЏЕТСКИ РАСХОДИ И ИЗДАЦИ ЗА НЕФИНАНСИЈСКУ ИМОВИНУ        </t>
  </si>
  <si>
    <t xml:space="preserve"> Буџет за
 2024. год.</t>
  </si>
  <si>
    <t>Дознаке грађанима које се исплаћују из буџета града</t>
  </si>
  <si>
    <t>Дознаке пружаоцима услуга социјалне заштите које се исплаћују из буџета  града</t>
  </si>
  <si>
    <t>Дознаке на име социјалне заштите које се исплаћују из буџета града</t>
  </si>
  <si>
    <t xml:space="preserve"> ТАБЕЛА 5.  БУЏЕТ ГРАДА ПРЊАВОР ЗА 2024. ГОДИНУ
 - ОРГАНИЗАЦИОНА КЛАСИФИКАЦИЈА                                                                                                                                                                                    </t>
  </si>
  <si>
    <t xml:space="preserve"> Буџет за 
2024. год.</t>
  </si>
  <si>
    <t>Плакете, повеље, награде и признања града</t>
  </si>
  <si>
    <r>
      <t xml:space="preserve">Плакете, повеље, награде и признања града - </t>
    </r>
    <r>
      <rPr>
        <b/>
        <sz val="10"/>
        <rFont val="Times New Roman"/>
        <family val="1"/>
      </rPr>
      <t>буџетска резерва</t>
    </r>
  </si>
  <si>
    <r>
      <t>Назив и број потрошачке јединице:</t>
    </r>
    <r>
      <rPr>
        <b/>
        <sz val="11"/>
        <rFont val="Times New Roman"/>
        <family val="1"/>
      </rPr>
      <t xml:space="preserve">
Трезор Града Прњавор број:  9999999</t>
    </r>
  </si>
  <si>
    <t>ТАБЕЛА 4. БУЏЕТ ГРАДА ПРЊАВОР ЗА 2024. ГОДИНУ
- ФИНАНСИРАЊЕ</t>
  </si>
  <si>
    <t>Финансирање Градске изборне комисије</t>
  </si>
  <si>
    <t>Плакете, повеље, награде и признања Градоначелника</t>
  </si>
  <si>
    <t xml:space="preserve">Инвестиционо одржавање, реконструкција и адаптација зграда и објеката  </t>
  </si>
  <si>
    <t>Расходи за лична примања запослених у Градској управи</t>
  </si>
  <si>
    <t>Расходи из трансакција размјене између јединица власти</t>
  </si>
  <si>
    <t>Накнада за уређење грађевинског земљишта</t>
  </si>
  <si>
    <t>Субвенционисање трошкова комуналних  услуга социјално угроженим корисницима на подручју Града Прњавор</t>
  </si>
  <si>
    <t>Инвестиционо  одржавање, реконструкција и адаптација зграда и објеката  Градске управе</t>
  </si>
  <si>
    <t>Расходи по основу путовања и смјештаја запослених Градске управе</t>
  </si>
  <si>
    <t>Расходи за стручне услуге Градске управе</t>
  </si>
  <si>
    <t>Расходи за стручно усавршавање запослених Градске управе</t>
  </si>
  <si>
    <t>Расходи по основу утрошка енергије и комуналних услуга</t>
  </si>
  <si>
    <t>Расходи из трансакцијa размјене унутар исте јединице власти</t>
  </si>
  <si>
    <t xml:space="preserve">Остали некласификовани расходи </t>
  </si>
  <si>
    <t>Остали издаци из трансакција између или унутар 
јединица власти</t>
  </si>
  <si>
    <t xml:space="preserve">  ТАБЕЛА 6.   БУЏЕТ ГРАДА ПРЊАВОР ЗА 2024. ГОДИНУ
- ФУНКЦИОНАЛНА КЛАСИФИКАЦИЈА </t>
  </si>
  <si>
    <t>3</t>
  </si>
  <si>
    <t>Текуће одржавање путева на неразвијеним дијеловима града</t>
  </si>
  <si>
    <t>Изградња и реконструкција инфраструктуре и других објеката на неразвијеним дијеловима града</t>
  </si>
  <si>
    <t>Расходи поводом манифестација за празничне дане града</t>
  </si>
  <si>
    <t xml:space="preserve">Приходи од финансијске и нефинансијске имовине и трансакција размјене између или унутар јединица власти </t>
  </si>
  <si>
    <t>722121-722131</t>
  </si>
  <si>
    <t>Приход из трансакција размјене са осталим јединицама власти-ЈЗУ Дом здравља</t>
  </si>
  <si>
    <t>Примици од задуживања из трансакција између или унутар јединица власти</t>
  </si>
  <si>
    <t>Примици од задуживања код других јединица власти (кредит ЕИБ-а)</t>
  </si>
  <si>
    <t>Примици од задуживања код других јединица власти (кредит Свјетске банке)</t>
  </si>
  <si>
    <t>Финансирање дијела трошкова изборне кампање
 политичких субјеката</t>
  </si>
  <si>
    <r>
      <t xml:space="preserve">Назив и број потрошачке јединице:
</t>
    </r>
    <r>
      <rPr>
        <b/>
        <sz val="11"/>
        <rFont val="Times New Roman"/>
        <family val="1"/>
      </rPr>
      <t>Кабинет Градоначелника</t>
    </r>
    <r>
      <rPr>
        <sz val="11"/>
        <rFont val="Times New Roman"/>
        <family val="1"/>
      </rPr>
      <t xml:space="preserve">
</t>
    </r>
    <r>
      <rPr>
        <b/>
        <sz val="11"/>
        <rFont val="Times New Roman"/>
        <family val="1"/>
      </rPr>
      <t xml:space="preserve">   Број: 00750120</t>
    </r>
  </si>
  <si>
    <t>Грантови добровољним ватрогасним друштвима града</t>
  </si>
  <si>
    <t>Израда пројекта и почетак радова на водоснабдијевању МЗ Кремна, Кулаши и Поповићи</t>
  </si>
  <si>
    <r>
      <t>Удружење РВИ</t>
    </r>
    <r>
      <rPr>
        <sz val="10"/>
        <rFont val="Times New Roman"/>
        <family val="1"/>
      </rPr>
      <t xml:space="preserve"> Прњавор</t>
    </r>
  </si>
  <si>
    <r>
      <t>Борачка организација</t>
    </r>
    <r>
      <rPr>
        <sz val="10"/>
        <rFont val="Times New Roman"/>
        <family val="1"/>
      </rPr>
      <t xml:space="preserve"> Прњавор</t>
    </r>
  </si>
  <si>
    <r>
      <t>Изградња и реконструкција објеката водоснабдијевања (базени, цјевоводи, изворишта, чесме и др.) из намјенских ср. за воде - "</t>
    </r>
    <r>
      <rPr>
        <b/>
        <sz val="10"/>
        <rFont val="Times New Roman"/>
        <family val="1"/>
      </rPr>
      <t>МЕГ ПРОЈЕКАТ"</t>
    </r>
  </si>
  <si>
    <r>
      <t>Програм здравствене заштите становништва</t>
    </r>
    <r>
      <rPr>
        <sz val="10"/>
        <rFont val="Times New Roman"/>
        <family val="1"/>
      </rPr>
      <t xml:space="preserve"> (трансакције размјене унутар исте јединице власти)</t>
    </r>
  </si>
  <si>
    <t>Остали некласификовани расходи из трансакција унутар исте јединице власти</t>
  </si>
  <si>
    <r>
      <t>Трошкови интеркаларне камате на примљени зајам</t>
    </r>
    <r>
      <rPr>
        <sz val="10"/>
        <rFont val="Times New Roman"/>
        <family val="1"/>
      </rPr>
      <t xml:space="preserve"> (5 мил.  КМ)</t>
    </r>
  </si>
  <si>
    <t>Трошкови камате за робни кредит Краљевине Шпаније (3,8 мил. КМ)</t>
  </si>
  <si>
    <t>УКУПНА БУЏЕТСКА СРЕДСТВА БЕЗ КРЕДИТА</t>
  </si>
  <si>
    <t xml:space="preserve">Новчане казне изречене у прекршајном поступку за прекршаје прописане актима СГ-а </t>
  </si>
  <si>
    <r>
      <t xml:space="preserve">Финансирање </t>
    </r>
    <r>
      <rPr>
        <sz val="10"/>
        <color indexed="8"/>
        <rFont val="Times New Roman"/>
        <family val="1"/>
      </rPr>
      <t>Градске</t>
    </r>
    <r>
      <rPr>
        <sz val="10"/>
        <rFont val="Times New Roman"/>
        <family val="1"/>
      </rPr>
      <t xml:space="preserve"> организације слијепих  Прњавор</t>
    </r>
  </si>
  <si>
    <r>
      <t>Средства за имплементацију и суфинансирање пројеката предвиђених Стратегијом развоја</t>
    </r>
    <r>
      <rPr>
        <sz val="10"/>
        <color indexed="8"/>
        <rFont val="Times New Roman"/>
        <family val="1"/>
      </rPr>
      <t xml:space="preserve"> Града</t>
    </r>
    <r>
      <rPr>
        <sz val="10"/>
        <rFont val="Times New Roman"/>
        <family val="1"/>
      </rPr>
      <t xml:space="preserve"> Прњавор 2022-2028. година </t>
    </r>
  </si>
  <si>
    <r>
      <t>Трошкови</t>
    </r>
    <r>
      <rPr>
        <sz val="10"/>
        <color indexed="8"/>
        <rFont val="Times New Roman"/>
        <family val="1"/>
      </rPr>
      <t xml:space="preserve"> интеркаларне</t>
    </r>
    <r>
      <rPr>
        <sz val="10"/>
        <rFont val="Times New Roman"/>
        <family val="1"/>
      </rPr>
      <t xml:space="preserve"> камате </t>
    </r>
    <r>
      <rPr>
        <sz val="10"/>
        <color indexed="8"/>
        <rFont val="Times New Roman"/>
        <family val="1"/>
      </rPr>
      <t xml:space="preserve">и остали сервисни трошкови </t>
    </r>
    <r>
      <rPr>
        <sz val="10"/>
        <rFont val="Times New Roman"/>
        <family val="1"/>
      </rPr>
      <t>за кредит ЕИБ-а (2,7 мил. КМ)</t>
    </r>
  </si>
  <si>
    <r>
      <rPr>
        <sz val="10"/>
        <color indexed="8"/>
        <rFont val="Times New Roman"/>
        <family val="1"/>
      </rPr>
      <t>ГО</t>
    </r>
    <r>
      <rPr>
        <sz val="10"/>
        <rFont val="Times New Roman"/>
        <family val="1"/>
      </rPr>
      <t xml:space="preserve"> породица заробљених и погинулих бораца и несталих цивила Прњавор</t>
    </r>
  </si>
  <si>
    <r>
      <rPr>
        <sz val="10"/>
        <color indexed="8"/>
        <rFont val="Times New Roman"/>
        <family val="1"/>
      </rPr>
      <t>ГО</t>
    </r>
    <r>
      <rPr>
        <sz val="10"/>
        <rFont val="Times New Roman"/>
        <family val="1"/>
      </rPr>
      <t xml:space="preserve"> дјеце погинулих бораца одбрамбено-отаџбинског рата 1991-1995 Прњавор</t>
    </r>
  </si>
  <si>
    <r>
      <t xml:space="preserve">Назив и број потрошачке јединице:
</t>
    </r>
    <r>
      <rPr>
        <b/>
        <sz val="11"/>
        <rFont val="Times New Roman"/>
        <family val="1"/>
      </rPr>
      <t>Скупштина Града и Стручна служба Скупштине Града
Број: 00750110</t>
    </r>
  </si>
  <si>
    <t xml:space="preserve">             </t>
  </si>
  <si>
    <t xml:space="preserve"> БУЏЕТ 
ГРАДА ПРЊАВОР 
ЗА 2024. ГОДИНУ </t>
  </si>
  <si>
    <t>Буџет за
2024. год.</t>
  </si>
  <si>
    <t>Реконструкција старе зграде Градске управе и зграде Војног одсјека - Завичајног музеја Прњавор</t>
  </si>
  <si>
    <t>Изградња објекта "Кино дворана"</t>
  </si>
  <si>
    <t>Изградња водоводне мреже за потребе мјесних заједница: Горња Мравица, Лишња, Гаљиповци и Ратковац</t>
  </si>
  <si>
    <t>Реконструкција локалних путева и градских улица на подручју Града Прњавор</t>
  </si>
  <si>
    <t>Ребаланс буџета
 за 2023. год.</t>
  </si>
  <si>
    <t xml:space="preserve"> Ребаланс буџета
 за 2023. год.</t>
  </si>
  <si>
    <t>Грант Савјета Европе Ромској заједници за Пројекат "Промовисање доброг управљања и оснаживање Рома на локалном нивоу"</t>
  </si>
  <si>
    <t>Грант УНДП/МЕГ за Пројекат "Водоснабдијевање дијела насеља Маћино брдо и Мјесне заједнице Бабановци"</t>
  </si>
  <si>
    <t>Грант Удружења грађана МЗ Велика Илова за реконструкцију локалног пута у МЗ В.Илова на дионици Велика Илова-засеок Топићи</t>
  </si>
  <si>
    <t>Грант правних и физичких лица ЈУ Дјечији вртић "Наша радост" за набавку материјала за посебне намјене</t>
  </si>
  <si>
    <t>Грант Удружења грађана "Агенција за развој предузећа - Еда" ЈУ ЦСШ "Иво Андрић" за реализацију пројекта "Оспособљавање одраслих за оператера на ЦНЦ машинама за обраду дрвета"</t>
  </si>
  <si>
    <t>Грант Удружења грађана "Лишња у срцу" за санацију и асфалтирање локалних путева у МЗ Лишња</t>
  </si>
  <si>
    <t>Трансфер Предсједника РС  ЈУ ЦСШ "Иво Андрић" за санацију санитарних чворова</t>
  </si>
  <si>
    <t>Трансфер Министарства за људска права и избјеглице БиХ- за реконструкцију улице Бранка Ћопића</t>
  </si>
  <si>
    <t>Трансфер Министарства рада и борачко-инвалидске заштите РС Центру средњих школа, Гимназији и Музичкој школи за превоз ђака у Доњу Градину</t>
  </si>
  <si>
    <t>Примици од продаје моторних возила</t>
  </si>
  <si>
    <t>Пренесена неутрошена средства Владе РС за Пројекат "Санација четири клизишта на локалном путу Кокори - Чивчије - Бранешци из средстава Владе РС (Програм јавних инвестиција РС за 2022. годину ("Службени гласник Републике Српске", број 60/22))</t>
  </si>
  <si>
    <t>Пренесена неутрошена средства Владе РС из 2022.г за пројекат "Реконструкција локалних путева и градских улица на подручју општине Прњавор из средстава Владе РС" (Програм јавних инвестиција РС за 2022. годину ("Службени гласник Републике Српске", број 84/22))</t>
  </si>
  <si>
    <t>Пренесена неутрошена средства Владе РС из 2022.г. за пројекат "Суфинансирање реконструкције локалног пута Горњи Вијачани - Сабањска ријека из средстава Владе РС (Програм јавних инвестиција РС за 2022. годину ("Службени гласник Републике Српске, број 73/22))</t>
  </si>
  <si>
    <r>
      <t xml:space="preserve">Плакете, повеље, награде и признања Градоначелника - </t>
    </r>
    <r>
      <rPr>
        <b/>
        <sz val="10"/>
        <rFont val="Times New Roman"/>
        <family val="1"/>
      </rPr>
      <t>буџетска резерва</t>
    </r>
  </si>
  <si>
    <t>ФК "Љубић" Прњавор - финансирање неизмирених обавеза из ранијег периода</t>
  </si>
  <si>
    <r>
      <t>Финансирање Градске организације слијепих  Прњавор -</t>
    </r>
    <r>
      <rPr>
        <b/>
        <sz val="10"/>
        <rFont val="Times New Roman"/>
        <family val="1"/>
      </rPr>
      <t xml:space="preserve"> буџетска резерва</t>
    </r>
  </si>
  <si>
    <r>
      <t xml:space="preserve">Грантови у земљи - </t>
    </r>
    <r>
      <rPr>
        <b/>
        <sz val="10"/>
        <rFont val="Times New Roman"/>
        <family val="1"/>
      </rPr>
      <t>буџетска резерва</t>
    </r>
  </si>
  <si>
    <r>
      <t xml:space="preserve">Реализација пројекта "Промовисање доброг управљања и оснаживање Рома на локалном нивоу" - </t>
    </r>
    <r>
      <rPr>
        <b/>
        <sz val="10"/>
        <rFont val="Times New Roman"/>
        <family val="1"/>
      </rPr>
      <t>из гранта Савјета Европе Ромској заједници</t>
    </r>
    <r>
      <rPr>
        <sz val="10"/>
        <rFont val="Times New Roman"/>
        <family val="1"/>
      </rPr>
      <t xml:space="preserve"> </t>
    </r>
  </si>
  <si>
    <r>
      <t>Грант КП "Парк" Прњавор -</t>
    </r>
    <r>
      <rPr>
        <b/>
        <sz val="10"/>
        <rFont val="Times New Roman"/>
        <family val="1"/>
      </rPr>
      <t>буџетска резерва</t>
    </r>
  </si>
  <si>
    <r>
      <t xml:space="preserve">Санација четири клизишта на локалном путу Кокори-Чивчије-Бранешци из средстава Владе РС  (Програм јавних инвестиција РС за 2022.г.-Сл.гл.РС, број 60/22) - </t>
    </r>
    <r>
      <rPr>
        <b/>
        <sz val="10"/>
        <rFont val="Times New Roman"/>
        <family val="1"/>
      </rPr>
      <t>из пренесених неутрошених средстава из 2022.г.</t>
    </r>
  </si>
  <si>
    <r>
      <t xml:space="preserve">Реконструкција локалних путева и градских улица на подручју општине Прњавор из средстава Владе РС (Програм јавних инвестиција РС за 2022.г.-Сл.гл.РС, број 84/22 ) - </t>
    </r>
    <r>
      <rPr>
        <b/>
        <sz val="10"/>
        <rFont val="Times New Roman"/>
        <family val="1"/>
      </rPr>
      <t>из пренесених нетрошених средстава из  2022.г.</t>
    </r>
  </si>
  <si>
    <r>
      <t>Суфинансирање реконструкције локалног пута Г.Вијачани-Сабањска ријека из средстава Владе РС  (Програм јавних инвестиција РС за 2022.г.-Сл.гл.РС, број 73/22) -</t>
    </r>
    <r>
      <rPr>
        <b/>
        <sz val="10"/>
        <rFont val="Times New Roman"/>
        <family val="1"/>
      </rPr>
      <t xml:space="preserve"> из пренесених неутрошених средстава из 2022.г.</t>
    </r>
  </si>
  <si>
    <r>
      <t xml:space="preserve">Изградња водоводне мреже у МЗ Бабановци и дијела МЗ Маћино Брдо - </t>
    </r>
    <r>
      <rPr>
        <b/>
        <sz val="10"/>
        <rFont val="Times New Roman"/>
        <family val="1"/>
      </rPr>
      <t>из средстава УНДП/МЕГ</t>
    </r>
  </si>
  <si>
    <r>
      <t xml:space="preserve">Реконструкција локалног пута у МЗ Велика Илова на дионици Велика Илова - засеок Топићи - </t>
    </r>
    <r>
      <rPr>
        <b/>
        <sz val="10"/>
        <rFont val="Times New Roman"/>
        <family val="1"/>
      </rPr>
      <t>из средстава групе грађана МЗ Велика Илова</t>
    </r>
  </si>
  <si>
    <r>
      <t>Реконструкција улице Бранка Ћопића -</t>
    </r>
    <r>
      <rPr>
        <b/>
        <sz val="10"/>
        <rFont val="Times New Roman"/>
        <family val="1"/>
      </rPr>
      <t xml:space="preserve"> из средстава Министарства за људска права и избјеглице БиХ</t>
    </r>
  </si>
  <si>
    <r>
      <t xml:space="preserve">Изградња и реконструкција градских улица, путне и канализационе мреже - пројекат "Промовисање доброг управљања и оснаживање Рома на локалном нивоу - </t>
    </r>
    <r>
      <rPr>
        <b/>
        <sz val="10"/>
        <rFont val="Times New Roman"/>
        <family val="1"/>
      </rPr>
      <t xml:space="preserve">из гранта Савјета Европе Ромској заједници </t>
    </r>
  </si>
  <si>
    <r>
      <t xml:space="preserve">Санација и асфалтирање локалних путева у МЗ Лишња - </t>
    </r>
    <r>
      <rPr>
        <b/>
        <sz val="10"/>
        <rFont val="Times New Roman"/>
        <family val="1"/>
      </rPr>
      <t>из средстава Удружења грађана "Лишња у срцу"</t>
    </r>
  </si>
  <si>
    <t xml:space="preserve">Изградња водоводне мреже у МЗ Штрпци </t>
  </si>
  <si>
    <r>
      <t xml:space="preserve">Борачка организација Прњавор - </t>
    </r>
    <r>
      <rPr>
        <b/>
        <sz val="10"/>
        <rFont val="Times New Roman"/>
        <family val="1"/>
      </rPr>
      <t>буџетска резерва</t>
    </r>
  </si>
  <si>
    <t>Удружење РВИ  Прњавор - Пројекат "Набавка пластеника за породице РВИ"</t>
  </si>
  <si>
    <r>
      <t>Удружење РВИ  Прњавор-</t>
    </r>
    <r>
      <rPr>
        <b/>
        <sz val="10"/>
        <rFont val="Times New Roman"/>
        <family val="1"/>
      </rPr>
      <t>буџетска резерва</t>
    </r>
  </si>
  <si>
    <r>
      <t xml:space="preserve">Остали непоменути расходи - </t>
    </r>
    <r>
      <rPr>
        <b/>
        <sz val="10"/>
        <rFont val="Times New Roman"/>
        <family val="1"/>
      </rPr>
      <t>Израда социјалне карте</t>
    </r>
  </si>
  <si>
    <t>Расходи  из трансакција размјене унутар исте јединице власти</t>
  </si>
  <si>
    <t>Расходи за материјал за посебне намјене - из гранта правних и физичких лица за набавку материјала за посебне намјене</t>
  </si>
  <si>
    <r>
      <t>Расходи по основу утрошка енергије, комуналних, комуникационих и транспортних услуга -</t>
    </r>
    <r>
      <rPr>
        <b/>
        <sz val="10"/>
        <rFont val="Times New Roman"/>
        <family val="1"/>
      </rPr>
      <t xml:space="preserve"> из средстава Министарства рада и борачко-инвалидске заштите за превоз ђака у Доњу Градину</t>
    </r>
  </si>
  <si>
    <r>
      <t>Расходи по основу утрошка енергије, комуналних, комуникационих и транспортних услуга -</t>
    </r>
    <r>
      <rPr>
        <i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из средстава Министарства рада и борачко-инвалидске заштите за превоз ђака у Доњу Градину</t>
    </r>
  </si>
  <si>
    <r>
      <t xml:space="preserve">Расходи по основу утрошка енергије, комуналних, комуникационих и транспортних услуга - </t>
    </r>
    <r>
      <rPr>
        <b/>
        <sz val="10"/>
        <rFont val="Times New Roman"/>
        <family val="1"/>
      </rPr>
      <t>из гранта Агенције "ЕДА" за рализацију пројекта "Оспособљавање одраслих за оператера на ЦНЦ машинама за обраду дрвета"</t>
    </r>
  </si>
  <si>
    <r>
      <t xml:space="preserve">Расходи за материјал за посебне намјене - </t>
    </r>
    <r>
      <rPr>
        <b/>
        <sz val="10"/>
        <rFont val="Times New Roman"/>
        <family val="1"/>
      </rPr>
      <t>из гранта Агенције "ЕДА" за рализацију пројекта "Оспособљавање одраслих за оператера на ЦНЦ машинама за обраду дрвета"</t>
    </r>
  </si>
  <si>
    <r>
      <t xml:space="preserve">Расходи за текуће одржавање - </t>
    </r>
    <r>
      <rPr>
        <b/>
        <sz val="10"/>
        <rFont val="Times New Roman"/>
        <family val="1"/>
      </rPr>
      <t>из гранта Агенције "ЕДА" за рализацију пројекта "Оспособљавање одраслих за оператера на ЦНЦ машинама за обраду дрвета"</t>
    </r>
  </si>
  <si>
    <r>
      <t xml:space="preserve">Инвестиционо  одржавање, реконструкција и адаптација зграда и објеката - </t>
    </r>
    <r>
      <rPr>
        <b/>
        <sz val="10"/>
        <rFont val="Times New Roman"/>
        <family val="1"/>
      </rPr>
      <t>из средстава Кабинета пресједника РС одобрених за санацију санитарних чворова</t>
    </r>
  </si>
  <si>
    <t>Примици за нефинансијску имовину</t>
  </si>
  <si>
    <t>Програм друштвене кохезије</t>
  </si>
  <si>
    <r>
      <t xml:space="preserve">Назив и број потрошачке јединице:
</t>
    </r>
    <r>
      <rPr>
        <b/>
        <sz val="11"/>
        <rFont val="Times New Roman"/>
        <family val="1"/>
      </rPr>
      <t>ЈУ Центар за културу Прњавор
Број: 08180011</t>
    </r>
  </si>
  <si>
    <t>ЈУ Центар за културу Прњавор</t>
  </si>
  <si>
    <r>
      <t>Издаци по основу пореза на додату вриједност -</t>
    </r>
    <r>
      <rPr>
        <b/>
        <sz val="10"/>
        <rFont val="Times New Roman"/>
        <family val="1"/>
      </rPr>
      <t xml:space="preserve"> ЈЗУ Дом здравља</t>
    </r>
  </si>
  <si>
    <t>Прњавор, децембар 2023. године</t>
  </si>
  <si>
    <t>укупно</t>
  </si>
  <si>
    <t>Остали примици из транс. између или унутар јединица власти</t>
  </si>
  <si>
    <t>Приходи</t>
  </si>
  <si>
    <t>Разлика</t>
  </si>
  <si>
    <t>Трошкови електричне енергије за јавну расвјету (у граду и мјесним заједн.)</t>
  </si>
  <si>
    <t>Удружење Ветерани одбрамбено-отаџбинског рата РС</t>
  </si>
  <si>
    <t>Субвенционисање трошкова боравка дјеце у приватним предшколским установама</t>
  </si>
  <si>
    <t>Грант СПЦО Прњавор - изградња градске капеле</t>
  </si>
  <si>
    <t>Удружење "Први батаљон прњаворске бригаде" Прњавор</t>
  </si>
  <si>
    <t>Финансирање Спортског друштва за узгој и заштиту ситних животиња "Феникс" Прњавор</t>
  </si>
  <si>
    <t>Борачка организација Прњавор - финансирање обавеза из ранијег периода</t>
  </si>
</sst>
</file>

<file path=xl/styles.xml><?xml version="1.0" encoding="utf-8"?>
<styleSheet xmlns="http://schemas.openxmlformats.org/spreadsheetml/2006/main">
  <numFmts count="40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"/>
    <numFmt numFmtId="183" formatCode="0.0000"/>
    <numFmt numFmtId="184" formatCode="0.000"/>
    <numFmt numFmtId="185" formatCode="0.0000000"/>
    <numFmt numFmtId="186" formatCode="0.000000"/>
    <numFmt numFmtId="187" formatCode="0.00000000"/>
    <numFmt numFmtId="188" formatCode="0.0"/>
    <numFmt numFmtId="189" formatCode="#,##0.00;[Red]#,##0.00"/>
    <numFmt numFmtId="190" formatCode="0.000000000"/>
    <numFmt numFmtId="191" formatCode="0.00000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i/>
      <sz val="10"/>
      <name val="Arial"/>
      <family val="2"/>
    </font>
    <font>
      <i/>
      <sz val="12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Symbol"/>
      <family val="1"/>
    </font>
    <font>
      <b/>
      <sz val="12"/>
      <name val="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sz val="12"/>
      <name val="Arial"/>
      <family val="2"/>
    </font>
    <font>
      <b/>
      <sz val="8"/>
      <name val="Arial"/>
      <family val="2"/>
    </font>
    <font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color indexed="10"/>
      <name val="Times New Roman"/>
      <family val="1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 style="double"/>
      <top style="thin"/>
      <bottom>
        <color indexed="63"/>
      </bottom>
    </border>
    <border>
      <left/>
      <right style="double"/>
      <top/>
      <bottom/>
    </border>
    <border>
      <left/>
      <right/>
      <top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/>
    </border>
    <border>
      <left style="double"/>
      <right/>
      <top style="thin"/>
      <bottom>
        <color indexed="63"/>
      </bottom>
    </border>
    <border>
      <left/>
      <right style="thin"/>
      <top style="thin"/>
      <bottom/>
    </border>
    <border>
      <left style="double"/>
      <right/>
      <top>
        <color indexed="63"/>
      </top>
      <bottom>
        <color indexed="63"/>
      </bottom>
    </border>
    <border>
      <left/>
      <right style="thin"/>
      <top/>
      <bottom/>
    </border>
    <border>
      <left style="double"/>
      <right/>
      <top>
        <color indexed="63"/>
      </top>
      <bottom style="thin"/>
    </border>
    <border>
      <left/>
      <right style="thin"/>
      <top/>
      <bottom style="thin"/>
    </border>
    <border>
      <left style="double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/>
    </border>
    <border>
      <left style="thin"/>
      <right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/>
      <right/>
      <top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/>
      <right style="thin"/>
      <top style="thin"/>
      <bottom style="double"/>
    </border>
    <border>
      <left/>
      <right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2" fontId="4" fillId="0" borderId="0" xfId="0" applyNumberFormat="1" applyFont="1" applyAlignment="1">
      <alignment vertical="center"/>
    </xf>
    <xf numFmtId="2" fontId="5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  <xf numFmtId="0" fontId="9" fillId="0" borderId="0" xfId="0" applyFont="1" applyAlignment="1">
      <alignment vertical="center" wrapText="1"/>
    </xf>
    <xf numFmtId="4" fontId="2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4" fontId="3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4" fontId="0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2" fillId="13" borderId="11" xfId="0" applyFont="1" applyFill="1" applyBorder="1" applyAlignment="1">
      <alignment horizontal="left" vertical="center"/>
    </xf>
    <xf numFmtId="4" fontId="12" fillId="13" borderId="11" xfId="0" applyNumberFormat="1" applyFont="1" applyFill="1" applyBorder="1" applyAlignment="1">
      <alignment horizontal="right" vertical="center"/>
    </xf>
    <xf numFmtId="4" fontId="12" fillId="13" borderId="12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4" fontId="12" fillId="33" borderId="11" xfId="0" applyNumberFormat="1" applyFont="1" applyFill="1" applyBorder="1" applyAlignment="1">
      <alignment horizontal="right" vertical="center"/>
    </xf>
    <xf numFmtId="4" fontId="12" fillId="34" borderId="11" xfId="0" applyNumberFormat="1" applyFont="1" applyFill="1" applyBorder="1" applyAlignment="1">
      <alignment horizontal="right" vertical="center"/>
    </xf>
    <xf numFmtId="4" fontId="12" fillId="33" borderId="12" xfId="0" applyNumberFormat="1" applyFont="1" applyFill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/>
    </xf>
    <xf numFmtId="4" fontId="12" fillId="35" borderId="11" xfId="0" applyNumberFormat="1" applyFont="1" applyFill="1" applyBorder="1" applyAlignment="1">
      <alignment horizontal="right" vertical="center"/>
    </xf>
    <xf numFmtId="4" fontId="12" fillId="36" borderId="11" xfId="0" applyNumberFormat="1" applyFont="1" applyFill="1" applyBorder="1" applyAlignment="1">
      <alignment horizontal="right" vertical="center"/>
    </xf>
    <xf numFmtId="4" fontId="12" fillId="36" borderId="13" xfId="0" applyNumberFormat="1" applyFont="1" applyFill="1" applyBorder="1" applyAlignment="1">
      <alignment horizontal="right" vertical="center"/>
    </xf>
    <xf numFmtId="4" fontId="12" fillId="36" borderId="12" xfId="0" applyNumberFormat="1" applyFont="1" applyFill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15" fillId="0" borderId="11" xfId="0" applyFont="1" applyFill="1" applyBorder="1" applyAlignment="1">
      <alignment horizontal="left" vertical="center"/>
    </xf>
    <xf numFmtId="4" fontId="15" fillId="37" borderId="11" xfId="0" applyNumberFormat="1" applyFont="1" applyFill="1" applyBorder="1" applyAlignment="1">
      <alignment horizontal="right" vertical="center"/>
    </xf>
    <xf numFmtId="4" fontId="15" fillId="37" borderId="13" xfId="0" applyNumberFormat="1" applyFont="1" applyFill="1" applyBorder="1" applyAlignment="1">
      <alignment horizontal="right" vertical="center"/>
    </xf>
    <xf numFmtId="4" fontId="15" fillId="37" borderId="12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horizontal="right" vertical="center"/>
    </xf>
    <xf numFmtId="0" fontId="15" fillId="38" borderId="11" xfId="0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15" fillId="0" borderId="10" xfId="0" applyFont="1" applyFill="1" applyBorder="1" applyAlignment="1">
      <alignment horizontal="right" vertical="center"/>
    </xf>
    <xf numFmtId="4" fontId="12" fillId="0" borderId="11" xfId="0" applyNumberFormat="1" applyFont="1" applyFill="1" applyBorder="1" applyAlignment="1">
      <alignment horizontal="right" vertical="center"/>
    </xf>
    <xf numFmtId="4" fontId="12" fillId="37" borderId="11" xfId="0" applyNumberFormat="1" applyFont="1" applyFill="1" applyBorder="1" applyAlignment="1">
      <alignment horizontal="right" vertical="center"/>
    </xf>
    <xf numFmtId="4" fontId="12" fillId="37" borderId="12" xfId="0" applyNumberFormat="1" applyFont="1" applyFill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4" fontId="12" fillId="35" borderId="11" xfId="0" applyNumberFormat="1" applyFont="1" applyFill="1" applyBorder="1" applyAlignment="1">
      <alignment horizontal="right" vertical="center" wrapText="1"/>
    </xf>
    <xf numFmtId="0" fontId="15" fillId="0" borderId="11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right" vertical="center"/>
    </xf>
    <xf numFmtId="0" fontId="12" fillId="33" borderId="11" xfId="0" applyFont="1" applyFill="1" applyBorder="1" applyAlignment="1">
      <alignment horizontal="left" vertical="center" wrapText="1"/>
    </xf>
    <xf numFmtId="0" fontId="12" fillId="13" borderId="11" xfId="0" applyFont="1" applyFill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/>
    </xf>
    <xf numFmtId="0" fontId="12" fillId="13" borderId="14" xfId="0" applyFont="1" applyFill="1" applyBorder="1" applyAlignment="1">
      <alignment vertical="center" wrapText="1"/>
    </xf>
    <xf numFmtId="4" fontId="12" fillId="13" borderId="14" xfId="0" applyNumberFormat="1" applyFont="1" applyFill="1" applyBorder="1" applyAlignment="1">
      <alignment horizontal="right" vertical="center" wrapText="1"/>
    </xf>
    <xf numFmtId="4" fontId="12" fillId="13" borderId="14" xfId="0" applyNumberFormat="1" applyFont="1" applyFill="1" applyBorder="1" applyAlignment="1">
      <alignment horizontal="right" vertical="center"/>
    </xf>
    <xf numFmtId="4" fontId="12" fillId="13" borderId="15" xfId="0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/>
    </xf>
    <xf numFmtId="0" fontId="16" fillId="0" borderId="12" xfId="0" applyNumberFormat="1" applyFont="1" applyBorder="1" applyAlignment="1">
      <alignment horizontal="center" vertical="center"/>
    </xf>
    <xf numFmtId="0" fontId="0" fillId="37" borderId="0" xfId="0" applyFont="1" applyFill="1" applyBorder="1" applyAlignment="1">
      <alignment/>
    </xf>
    <xf numFmtId="0" fontId="2" fillId="37" borderId="0" xfId="0" applyFont="1" applyFill="1" applyBorder="1" applyAlignment="1">
      <alignment vertical="center" wrapText="1"/>
    </xf>
    <xf numFmtId="4" fontId="2" fillId="37" borderId="0" xfId="0" applyNumberFormat="1" applyFont="1" applyFill="1" applyBorder="1" applyAlignment="1">
      <alignment horizontal="right" vertical="center" wrapText="1"/>
    </xf>
    <xf numFmtId="4" fontId="13" fillId="37" borderId="0" xfId="0" applyNumberFormat="1" applyFont="1" applyFill="1" applyBorder="1" applyAlignment="1">
      <alignment horizontal="right" vertical="center"/>
    </xf>
    <xf numFmtId="4" fontId="15" fillId="37" borderId="11" xfId="0" applyNumberFormat="1" applyFont="1" applyFill="1" applyBorder="1" applyAlignment="1">
      <alignment horizontal="right" vertical="center"/>
    </xf>
    <xf numFmtId="0" fontId="15" fillId="37" borderId="10" xfId="0" applyFont="1" applyFill="1" applyBorder="1" applyAlignment="1">
      <alignment horizontal="right" vertical="center"/>
    </xf>
    <xf numFmtId="0" fontId="15" fillId="37" borderId="11" xfId="0" applyFont="1" applyFill="1" applyBorder="1" applyAlignment="1">
      <alignment vertical="center" wrapText="1"/>
    </xf>
    <xf numFmtId="0" fontId="12" fillId="38" borderId="10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right" vertical="center"/>
    </xf>
    <xf numFmtId="0" fontId="12" fillId="0" borderId="11" xfId="0" applyFont="1" applyFill="1" applyBorder="1" applyAlignment="1">
      <alignment horizontal="left" vertical="center" wrapText="1"/>
    </xf>
    <xf numFmtId="49" fontId="15" fillId="0" borderId="16" xfId="0" applyNumberFormat="1" applyFont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49" fontId="15" fillId="0" borderId="16" xfId="0" applyNumberFormat="1" applyFont="1" applyFill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49" fontId="16" fillId="0" borderId="16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20" fillId="0" borderId="17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0" fontId="12" fillId="0" borderId="11" xfId="0" applyFont="1" applyBorder="1" applyAlignment="1">
      <alignment vertical="center" wrapText="1"/>
    </xf>
    <xf numFmtId="4" fontId="20" fillId="39" borderId="22" xfId="0" applyNumberFormat="1" applyFont="1" applyFill="1" applyBorder="1" applyAlignment="1">
      <alignment horizontal="right" vertical="center"/>
    </xf>
    <xf numFmtId="4" fontId="20" fillId="39" borderId="23" xfId="0" applyNumberFormat="1" applyFont="1" applyFill="1" applyBorder="1" applyAlignment="1">
      <alignment horizontal="right" vertical="center"/>
    </xf>
    <xf numFmtId="4" fontId="15" fillId="39" borderId="24" xfId="0" applyNumberFormat="1" applyFont="1" applyFill="1" applyBorder="1" applyAlignment="1">
      <alignment horizontal="right" vertical="center"/>
    </xf>
    <xf numFmtId="0" fontId="15" fillId="0" borderId="11" xfId="0" applyFont="1" applyFill="1" applyBorder="1" applyAlignment="1">
      <alignment horizontal="right" vertical="center" wrapText="1"/>
    </xf>
    <xf numFmtId="4" fontId="20" fillId="37" borderId="23" xfId="0" applyNumberFormat="1" applyFont="1" applyFill="1" applyBorder="1" applyAlignment="1">
      <alignment horizontal="right" vertical="center"/>
    </xf>
    <xf numFmtId="4" fontId="20" fillId="39" borderId="11" xfId="0" applyNumberFormat="1" applyFont="1" applyFill="1" applyBorder="1" applyAlignment="1">
      <alignment horizontal="right" vertical="center"/>
    </xf>
    <xf numFmtId="4" fontId="15" fillId="39" borderId="12" xfId="0" applyNumberFormat="1" applyFont="1" applyFill="1" applyBorder="1" applyAlignment="1">
      <alignment horizontal="right" vertical="center"/>
    </xf>
    <xf numFmtId="4" fontId="20" fillId="0" borderId="13" xfId="0" applyNumberFormat="1" applyFont="1" applyFill="1" applyBorder="1" applyAlignment="1">
      <alignment horizontal="right" vertical="center"/>
    </xf>
    <xf numFmtId="4" fontId="20" fillId="0" borderId="23" xfId="0" applyNumberFormat="1" applyFont="1" applyFill="1" applyBorder="1" applyAlignment="1">
      <alignment horizontal="right" vertical="center"/>
    </xf>
    <xf numFmtId="4" fontId="15" fillId="0" borderId="13" xfId="0" applyNumberFormat="1" applyFont="1" applyFill="1" applyBorder="1" applyAlignment="1">
      <alignment horizontal="right" vertical="center"/>
    </xf>
    <xf numFmtId="4" fontId="15" fillId="0" borderId="23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4" fontId="21" fillId="33" borderId="25" xfId="0" applyNumberFormat="1" applyFont="1" applyFill="1" applyBorder="1" applyAlignment="1">
      <alignment horizontal="right" vertical="center"/>
    </xf>
    <xf numFmtId="4" fontId="21" fillId="34" borderId="23" xfId="0" applyNumberFormat="1" applyFont="1" applyFill="1" applyBorder="1" applyAlignment="1">
      <alignment horizontal="right" vertical="center"/>
    </xf>
    <xf numFmtId="4" fontId="20" fillId="0" borderId="17" xfId="0" applyNumberFormat="1" applyFont="1" applyFill="1" applyBorder="1" applyAlignment="1">
      <alignment vertical="center"/>
    </xf>
    <xf numFmtId="4" fontId="20" fillId="0" borderId="18" xfId="0" applyNumberFormat="1" applyFont="1" applyFill="1" applyBorder="1" applyAlignment="1">
      <alignment horizontal="right" vertical="center"/>
    </xf>
    <xf numFmtId="4" fontId="20" fillId="0" borderId="0" xfId="0" applyNumberFormat="1" applyFont="1" applyFill="1" applyBorder="1" applyAlignment="1">
      <alignment vertical="center"/>
    </xf>
    <xf numFmtId="4" fontId="20" fillId="0" borderId="19" xfId="0" applyNumberFormat="1" applyFont="1" applyFill="1" applyBorder="1" applyAlignment="1">
      <alignment horizontal="right" vertical="center"/>
    </xf>
    <xf numFmtId="4" fontId="20" fillId="0" borderId="20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horizontal="right" vertical="center"/>
    </xf>
    <xf numFmtId="4" fontId="20" fillId="0" borderId="22" xfId="0" applyNumberFormat="1" applyFont="1" applyFill="1" applyBorder="1" applyAlignment="1">
      <alignment vertical="center"/>
    </xf>
    <xf numFmtId="4" fontId="20" fillId="37" borderId="22" xfId="0" applyNumberFormat="1" applyFont="1" applyFill="1" applyBorder="1" applyAlignment="1">
      <alignment horizontal="right" vertical="center"/>
    </xf>
    <xf numFmtId="0" fontId="15" fillId="37" borderId="11" xfId="0" applyFont="1" applyFill="1" applyBorder="1" applyAlignment="1">
      <alignment horizontal="left" vertical="center" wrapText="1"/>
    </xf>
    <xf numFmtId="4" fontId="21" fillId="33" borderId="11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right" vertical="center"/>
    </xf>
    <xf numFmtId="4" fontId="12" fillId="0" borderId="19" xfId="0" applyNumberFormat="1" applyFont="1" applyFill="1" applyBorder="1" applyAlignment="1">
      <alignment horizontal="right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right" vertical="center"/>
    </xf>
    <xf numFmtId="4" fontId="12" fillId="0" borderId="21" xfId="0" applyNumberFormat="1" applyFont="1" applyFill="1" applyBorder="1" applyAlignment="1">
      <alignment horizontal="right" vertical="center"/>
    </xf>
    <xf numFmtId="2" fontId="15" fillId="39" borderId="24" xfId="0" applyNumberFormat="1" applyFont="1" applyFill="1" applyBorder="1" applyAlignment="1">
      <alignment horizontal="right" vertical="center"/>
    </xf>
    <xf numFmtId="2" fontId="15" fillId="37" borderId="12" xfId="0" applyNumberFormat="1" applyFont="1" applyFill="1" applyBorder="1" applyAlignment="1">
      <alignment horizontal="right" vertical="center"/>
    </xf>
    <xf numFmtId="4" fontId="20" fillId="39" borderId="13" xfId="0" applyNumberFormat="1" applyFont="1" applyFill="1" applyBorder="1" applyAlignment="1">
      <alignment horizontal="right" vertical="center"/>
    </xf>
    <xf numFmtId="2" fontId="15" fillId="39" borderId="12" xfId="0" applyNumberFormat="1" applyFont="1" applyFill="1" applyBorder="1" applyAlignment="1">
      <alignment horizontal="right" vertical="center"/>
    </xf>
    <xf numFmtId="2" fontId="12" fillId="34" borderId="12" xfId="0" applyNumberFormat="1" applyFont="1" applyFill="1" applyBorder="1" applyAlignment="1">
      <alignment horizontal="right" vertical="center"/>
    </xf>
    <xf numFmtId="4" fontId="21" fillId="0" borderId="17" xfId="0" applyNumberFormat="1" applyFont="1" applyFill="1" applyBorder="1" applyAlignment="1">
      <alignment vertical="center"/>
    </xf>
    <xf numFmtId="4" fontId="21" fillId="0" borderId="18" xfId="0" applyNumberFormat="1" applyFont="1" applyFill="1" applyBorder="1" applyAlignment="1">
      <alignment vertical="center"/>
    </xf>
    <xf numFmtId="4" fontId="21" fillId="0" borderId="0" xfId="0" applyNumberFormat="1" applyFont="1" applyFill="1" applyBorder="1" applyAlignment="1">
      <alignment vertical="center"/>
    </xf>
    <xf numFmtId="4" fontId="21" fillId="0" borderId="19" xfId="0" applyNumberFormat="1" applyFont="1" applyFill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vertical="center"/>
    </xf>
    <xf numFmtId="4" fontId="20" fillId="37" borderId="11" xfId="0" applyNumberFormat="1" applyFont="1" applyFill="1" applyBorder="1" applyAlignment="1">
      <alignment horizontal="right" vertical="center"/>
    </xf>
    <xf numFmtId="4" fontId="20" fillId="37" borderId="13" xfId="0" applyNumberFormat="1" applyFont="1" applyFill="1" applyBorder="1" applyAlignment="1">
      <alignment horizontal="right" vertical="center"/>
    </xf>
    <xf numFmtId="4" fontId="68" fillId="37" borderId="23" xfId="0" applyNumberFormat="1" applyFont="1" applyFill="1" applyBorder="1" applyAlignment="1">
      <alignment horizontal="right" vertical="center"/>
    </xf>
    <xf numFmtId="4" fontId="15" fillId="37" borderId="23" xfId="0" applyNumberFormat="1" applyFont="1" applyFill="1" applyBorder="1" applyAlignment="1">
      <alignment horizontal="right" vertical="center"/>
    </xf>
    <xf numFmtId="4" fontId="20" fillId="0" borderId="17" xfId="0" applyNumberFormat="1" applyFont="1" applyBorder="1" applyAlignment="1">
      <alignment vertical="center"/>
    </xf>
    <xf numFmtId="4" fontId="20" fillId="0" borderId="18" xfId="0" applyNumberFormat="1" applyFont="1" applyBorder="1" applyAlignment="1">
      <alignment horizontal="right" vertical="center"/>
    </xf>
    <xf numFmtId="4" fontId="20" fillId="0" borderId="0" xfId="0" applyNumberFormat="1" applyFont="1" applyBorder="1" applyAlignment="1">
      <alignment vertical="center"/>
    </xf>
    <xf numFmtId="4" fontId="20" fillId="0" borderId="19" xfId="0" applyNumberFormat="1" applyFont="1" applyBorder="1" applyAlignment="1">
      <alignment horizontal="right" vertical="center"/>
    </xf>
    <xf numFmtId="4" fontId="20" fillId="0" borderId="20" xfId="0" applyNumberFormat="1" applyFont="1" applyBorder="1" applyAlignment="1">
      <alignment vertical="center"/>
    </xf>
    <xf numFmtId="4" fontId="20" fillId="0" borderId="21" xfId="0" applyNumberFormat="1" applyFont="1" applyBorder="1" applyAlignment="1">
      <alignment horizontal="right" vertical="center"/>
    </xf>
    <xf numFmtId="0" fontId="15" fillId="0" borderId="11" xfId="0" applyFont="1" applyFill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right" vertical="center"/>
    </xf>
    <xf numFmtId="0" fontId="15" fillId="38" borderId="11" xfId="0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vertical="center" wrapText="1"/>
    </xf>
    <xf numFmtId="4" fontId="20" fillId="36" borderId="13" xfId="0" applyNumberFormat="1" applyFont="1" applyFill="1" applyBorder="1" applyAlignment="1">
      <alignment horizontal="right" vertical="center"/>
    </xf>
    <xf numFmtId="4" fontId="20" fillId="36" borderId="23" xfId="0" applyNumberFormat="1" applyFont="1" applyFill="1" applyBorder="1" applyAlignment="1">
      <alignment horizontal="right" vertical="center"/>
    </xf>
    <xf numFmtId="49" fontId="15" fillId="38" borderId="32" xfId="0" applyNumberFormat="1" applyFont="1" applyFill="1" applyBorder="1" applyAlignment="1">
      <alignment horizontal="center" vertical="center"/>
    </xf>
    <xf numFmtId="0" fontId="12" fillId="38" borderId="22" xfId="0" applyFont="1" applyFill="1" applyBorder="1" applyAlignment="1">
      <alignment horizontal="center" vertical="center"/>
    </xf>
    <xf numFmtId="0" fontId="15" fillId="38" borderId="22" xfId="0" applyFont="1" applyFill="1" applyBorder="1" applyAlignment="1">
      <alignment horizontal="right" vertical="center"/>
    </xf>
    <xf numFmtId="0" fontId="15" fillId="38" borderId="22" xfId="0" applyFont="1" applyFill="1" applyBorder="1" applyAlignment="1">
      <alignment vertical="center" wrapText="1"/>
    </xf>
    <xf numFmtId="4" fontId="15" fillId="37" borderId="24" xfId="0" applyNumberFormat="1" applyFont="1" applyFill="1" applyBorder="1" applyAlignment="1">
      <alignment horizontal="right" vertical="center"/>
    </xf>
    <xf numFmtId="49" fontId="15" fillId="0" borderId="32" xfId="0" applyNumberFormat="1" applyFont="1" applyFill="1" applyBorder="1" applyAlignment="1">
      <alignment horizontal="center" vertical="center"/>
    </xf>
    <xf numFmtId="49" fontId="15" fillId="38" borderId="16" xfId="0" applyNumberFormat="1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center" vertical="center"/>
    </xf>
    <xf numFmtId="0" fontId="12" fillId="38" borderId="11" xfId="0" applyFont="1" applyFill="1" applyBorder="1" applyAlignment="1">
      <alignment horizontal="right" vertical="center"/>
    </xf>
    <xf numFmtId="4" fontId="15" fillId="39" borderId="13" xfId="0" applyNumberFormat="1" applyFont="1" applyFill="1" applyBorder="1" applyAlignment="1">
      <alignment horizontal="right" vertical="center"/>
    </xf>
    <xf numFmtId="0" fontId="12" fillId="38" borderId="11" xfId="0" applyFont="1" applyFill="1" applyBorder="1" applyAlignment="1">
      <alignment vertical="center"/>
    </xf>
    <xf numFmtId="49" fontId="12" fillId="0" borderId="16" xfId="0" applyNumberFormat="1" applyFont="1" applyBorder="1" applyAlignment="1">
      <alignment horizontal="center" vertical="center"/>
    </xf>
    <xf numFmtId="4" fontId="20" fillId="40" borderId="11" xfId="0" applyNumberFormat="1" applyFont="1" applyFill="1" applyBorder="1" applyAlignment="1">
      <alignment vertical="center"/>
    </xf>
    <xf numFmtId="4" fontId="20" fillId="40" borderId="11" xfId="0" applyNumberFormat="1" applyFont="1" applyFill="1" applyBorder="1" applyAlignment="1">
      <alignment horizontal="right" vertical="center"/>
    </xf>
    <xf numFmtId="4" fontId="20" fillId="40" borderId="12" xfId="0" applyNumberFormat="1" applyFont="1" applyFill="1" applyBorder="1" applyAlignment="1">
      <alignment horizontal="right" vertical="center"/>
    </xf>
    <xf numFmtId="4" fontId="20" fillId="0" borderId="11" xfId="0" applyNumberFormat="1" applyFont="1" applyBorder="1" applyAlignment="1">
      <alignment vertical="center"/>
    </xf>
    <xf numFmtId="4" fontId="68" fillId="0" borderId="11" xfId="0" applyNumberFormat="1" applyFont="1" applyBorder="1" applyAlignment="1">
      <alignment vertical="center"/>
    </xf>
    <xf numFmtId="49" fontId="15" fillId="37" borderId="11" xfId="0" applyNumberFormat="1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 wrapText="1"/>
    </xf>
    <xf numFmtId="4" fontId="21" fillId="34" borderId="11" xfId="0" applyNumberFormat="1" applyFont="1" applyFill="1" applyBorder="1" applyAlignment="1">
      <alignment horizontal="right" vertical="center"/>
    </xf>
    <xf numFmtId="0" fontId="12" fillId="38" borderId="11" xfId="0" applyFont="1" applyFill="1" applyBorder="1" applyAlignment="1">
      <alignment horizontal="left" vertical="center" wrapText="1"/>
    </xf>
    <xf numFmtId="4" fontId="20" fillId="39" borderId="13" xfId="0" applyNumberFormat="1" applyFont="1" applyFill="1" applyBorder="1" applyAlignment="1">
      <alignment horizontal="right" vertical="center" wrapText="1"/>
    </xf>
    <xf numFmtId="4" fontId="20" fillId="39" borderId="11" xfId="0" applyNumberFormat="1" applyFont="1" applyFill="1" applyBorder="1" applyAlignment="1">
      <alignment horizontal="right" vertical="center" wrapText="1"/>
    </xf>
    <xf numFmtId="49" fontId="68" fillId="0" borderId="16" xfId="0" applyNumberFormat="1" applyFont="1" applyFill="1" applyBorder="1" applyAlignment="1">
      <alignment horizontal="center" vertical="center"/>
    </xf>
    <xf numFmtId="2" fontId="12" fillId="0" borderId="18" xfId="0" applyNumberFormat="1" applyFont="1" applyFill="1" applyBorder="1" applyAlignment="1">
      <alignment horizontal="right" vertical="center"/>
    </xf>
    <xf numFmtId="2" fontId="12" fillId="0" borderId="19" xfId="0" applyNumberFormat="1" applyFont="1" applyFill="1" applyBorder="1" applyAlignment="1">
      <alignment horizontal="right" vertical="center"/>
    </xf>
    <xf numFmtId="2" fontId="12" fillId="0" borderId="21" xfId="0" applyNumberFormat="1" applyFont="1" applyFill="1" applyBorder="1" applyAlignment="1">
      <alignment horizontal="right" vertical="center"/>
    </xf>
    <xf numFmtId="4" fontId="20" fillId="41" borderId="23" xfId="0" applyNumberFormat="1" applyFont="1" applyFill="1" applyBorder="1" applyAlignment="1">
      <alignment horizontal="right" vertical="center"/>
    </xf>
    <xf numFmtId="4" fontId="22" fillId="38" borderId="33" xfId="0" applyNumberFormat="1" applyFont="1" applyFill="1" applyBorder="1" applyAlignment="1">
      <alignment vertical="center"/>
    </xf>
    <xf numFmtId="4" fontId="22" fillId="38" borderId="34" xfId="0" applyNumberFormat="1" applyFont="1" applyFill="1" applyBorder="1" applyAlignment="1">
      <alignment horizontal="right" vertical="center"/>
    </xf>
    <xf numFmtId="0" fontId="22" fillId="38" borderId="11" xfId="0" applyFont="1" applyFill="1" applyBorder="1" applyAlignment="1">
      <alignment horizontal="center" vertical="center" wrapText="1"/>
    </xf>
    <xf numFmtId="1" fontId="15" fillId="38" borderId="11" xfId="0" applyNumberFormat="1" applyFont="1" applyFill="1" applyBorder="1" applyAlignment="1">
      <alignment horizontal="right" vertical="center" wrapText="1"/>
    </xf>
    <xf numFmtId="1" fontId="15" fillId="38" borderId="11" xfId="0" applyNumberFormat="1" applyFont="1" applyFill="1" applyBorder="1" applyAlignment="1">
      <alignment horizontal="center" vertical="center" wrapText="1"/>
    </xf>
    <xf numFmtId="4" fontId="12" fillId="0" borderId="17" xfId="0" applyNumberFormat="1" applyFont="1" applyFill="1" applyBorder="1" applyAlignment="1">
      <alignment horizontal="right" vertical="center"/>
    </xf>
    <xf numFmtId="4" fontId="12" fillId="0" borderId="20" xfId="0" applyNumberFormat="1" applyFont="1" applyFill="1" applyBorder="1" applyAlignment="1">
      <alignment horizontal="right" vertical="center"/>
    </xf>
    <xf numFmtId="49" fontId="12" fillId="37" borderId="11" xfId="0" applyNumberFormat="1" applyFont="1" applyFill="1" applyBorder="1" applyAlignment="1">
      <alignment horizontal="center" vertical="center"/>
    </xf>
    <xf numFmtId="49" fontId="15" fillId="37" borderId="10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right" vertical="center"/>
    </xf>
    <xf numFmtId="49" fontId="15" fillId="37" borderId="16" xfId="0" applyNumberFormat="1" applyFont="1" applyFill="1" applyBorder="1" applyAlignment="1">
      <alignment horizontal="center" vertical="center"/>
    </xf>
    <xf numFmtId="2" fontId="12" fillId="36" borderId="12" xfId="0" applyNumberFormat="1" applyFont="1" applyFill="1" applyBorder="1" applyAlignment="1">
      <alignment horizontal="right" vertical="center"/>
    </xf>
    <xf numFmtId="4" fontId="15" fillId="36" borderId="13" xfId="0" applyNumberFormat="1" applyFont="1" applyFill="1" applyBorder="1" applyAlignment="1">
      <alignment horizontal="right" vertical="center"/>
    </xf>
    <xf numFmtId="4" fontId="21" fillId="0" borderId="20" xfId="0" applyNumberFormat="1" applyFont="1" applyFill="1" applyBorder="1" applyAlignment="1">
      <alignment vertical="center"/>
    </xf>
    <xf numFmtId="4" fontId="21" fillId="0" borderId="21" xfId="0" applyNumberFormat="1" applyFont="1" applyFill="1" applyBorder="1" applyAlignment="1">
      <alignment vertical="center"/>
    </xf>
    <xf numFmtId="0" fontId="15" fillId="0" borderId="11" xfId="0" applyFont="1" applyFill="1" applyBorder="1" applyAlignment="1">
      <alignment horizontal="center" vertical="center" wrapText="1"/>
    </xf>
    <xf numFmtId="2" fontId="15" fillId="38" borderId="24" xfId="0" applyNumberFormat="1" applyFont="1" applyFill="1" applyBorder="1" applyAlignment="1">
      <alignment horizontal="right" vertical="center"/>
    </xf>
    <xf numFmtId="4" fontId="21" fillId="33" borderId="14" xfId="0" applyNumberFormat="1" applyFont="1" applyFill="1" applyBorder="1" applyAlignment="1">
      <alignment horizontal="right" vertical="center"/>
    </xf>
    <xf numFmtId="4" fontId="21" fillId="34" borderId="14" xfId="0" applyNumberFormat="1" applyFont="1" applyFill="1" applyBorder="1" applyAlignment="1">
      <alignment horizontal="right" vertical="center"/>
    </xf>
    <xf numFmtId="2" fontId="12" fillId="34" borderId="15" xfId="0" applyNumberFormat="1" applyFont="1" applyFill="1" applyBorder="1" applyAlignment="1">
      <alignment horizontal="right" vertical="center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5" fillId="0" borderId="16" xfId="0" applyFont="1" applyBorder="1" applyAlignment="1">
      <alignment/>
    </xf>
    <xf numFmtId="0" fontId="12" fillId="42" borderId="11" xfId="0" applyFont="1" applyFill="1" applyBorder="1" applyAlignment="1">
      <alignment horizontal="left" vertical="center" wrapText="1"/>
    </xf>
    <xf numFmtId="0" fontId="12" fillId="36" borderId="11" xfId="0" applyFont="1" applyFill="1" applyBorder="1" applyAlignment="1">
      <alignment horizontal="left" vertical="center" wrapText="1"/>
    </xf>
    <xf numFmtId="0" fontId="15" fillId="0" borderId="16" xfId="0" applyFont="1" applyFill="1" applyBorder="1" applyAlignment="1">
      <alignment horizontal="right" vertical="center"/>
    </xf>
    <xf numFmtId="0" fontId="15" fillId="0" borderId="16" xfId="0" applyFont="1" applyBorder="1" applyAlignment="1">
      <alignment vertical="center"/>
    </xf>
    <xf numFmtId="4" fontId="15" fillId="0" borderId="11" xfId="0" applyNumberFormat="1" applyFont="1" applyBorder="1" applyAlignment="1">
      <alignment horizontal="right" vertical="center"/>
    </xf>
    <xf numFmtId="4" fontId="15" fillId="0" borderId="12" xfId="0" applyNumberFormat="1" applyFont="1" applyBorder="1" applyAlignment="1">
      <alignment horizontal="right" vertical="center"/>
    </xf>
    <xf numFmtId="0" fontId="15" fillId="0" borderId="16" xfId="0" applyFont="1" applyBorder="1" applyAlignment="1">
      <alignment horizontal="right" vertical="center"/>
    </xf>
    <xf numFmtId="0" fontId="12" fillId="37" borderId="11" xfId="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/>
    </xf>
    <xf numFmtId="4" fontId="15" fillId="0" borderId="25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/>
    </xf>
    <xf numFmtId="2" fontId="12" fillId="0" borderId="37" xfId="0" applyNumberFormat="1" applyFont="1" applyFill="1" applyBorder="1" applyAlignment="1">
      <alignment horizontal="center" vertical="center" wrapText="1"/>
    </xf>
    <xf numFmtId="2" fontId="12" fillId="0" borderId="36" xfId="0" applyNumberFormat="1" applyFont="1" applyFill="1" applyBorder="1" applyAlignment="1">
      <alignment horizontal="center" vertical="center" wrapText="1"/>
    </xf>
    <xf numFmtId="0" fontId="12" fillId="13" borderId="11" xfId="0" applyFont="1" applyFill="1" applyBorder="1" applyAlignment="1">
      <alignment vertical="center"/>
    </xf>
    <xf numFmtId="2" fontId="12" fillId="13" borderId="12" xfId="0" applyNumberFormat="1" applyFont="1" applyFill="1" applyBorder="1" applyAlignment="1">
      <alignment horizontal="right" vertical="center"/>
    </xf>
    <xf numFmtId="0" fontId="12" fillId="42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right" vertical="center"/>
    </xf>
    <xf numFmtId="0" fontId="12" fillId="35" borderId="11" xfId="0" applyFont="1" applyFill="1" applyBorder="1" applyAlignment="1">
      <alignment vertical="center" wrapText="1"/>
    </xf>
    <xf numFmtId="0" fontId="15" fillId="0" borderId="11" xfId="0" applyFont="1" applyFill="1" applyBorder="1" applyAlignment="1" applyProtection="1">
      <alignment horizontal="left" vertical="center"/>
      <protection/>
    </xf>
    <xf numFmtId="0" fontId="15" fillId="0" borderId="11" xfId="0" applyFont="1" applyFill="1" applyBorder="1" applyAlignment="1" applyProtection="1">
      <alignment horizontal="left" vertical="center" wrapText="1"/>
      <protection/>
    </xf>
    <xf numFmtId="0" fontId="12" fillId="35" borderId="11" xfId="0" applyFont="1" applyFill="1" applyBorder="1" applyAlignment="1">
      <alignment vertical="center"/>
    </xf>
    <xf numFmtId="0" fontId="12" fillId="35" borderId="11" xfId="0" applyFont="1" applyFill="1" applyBorder="1" applyAlignment="1">
      <alignment horizontal="left" vertical="center"/>
    </xf>
    <xf numFmtId="4" fontId="12" fillId="35" borderId="11" xfId="0" applyNumberFormat="1" applyFont="1" applyFill="1" applyBorder="1" applyAlignment="1">
      <alignment vertical="center"/>
    </xf>
    <xf numFmtId="0" fontId="15" fillId="37" borderId="16" xfId="0" applyFont="1" applyFill="1" applyBorder="1" applyAlignment="1">
      <alignment horizontal="right" vertical="center"/>
    </xf>
    <xf numFmtId="0" fontId="12" fillId="42" borderId="11" xfId="0" applyFont="1" applyFill="1" applyBorder="1" applyAlignment="1">
      <alignment vertical="center" wrapText="1"/>
    </xf>
    <xf numFmtId="0" fontId="12" fillId="13" borderId="16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vertical="center"/>
    </xf>
    <xf numFmtId="0" fontId="15" fillId="0" borderId="38" xfId="0" applyFont="1" applyBorder="1" applyAlignment="1">
      <alignment/>
    </xf>
    <xf numFmtId="2" fontId="12" fillId="13" borderId="15" xfId="0" applyNumberFormat="1" applyFont="1" applyFill="1" applyBorder="1" applyAlignment="1">
      <alignment horizontal="right" vertical="center"/>
    </xf>
    <xf numFmtId="0" fontId="12" fillId="0" borderId="39" xfId="0" applyFont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left" vertical="center"/>
    </xf>
    <xf numFmtId="0" fontId="12" fillId="36" borderId="11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horizontal="left" vertical="center"/>
    </xf>
    <xf numFmtId="0" fontId="15" fillId="0" borderId="16" xfId="0" applyFont="1" applyFill="1" applyBorder="1" applyAlignment="1">
      <alignment vertical="center"/>
    </xf>
    <xf numFmtId="2" fontId="12" fillId="0" borderId="40" xfId="0" applyNumberFormat="1" applyFont="1" applyFill="1" applyBorder="1" applyAlignment="1">
      <alignment horizontal="center" vertical="center" wrapText="1"/>
    </xf>
    <xf numFmtId="4" fontId="15" fillId="0" borderId="13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left" vertical="center" wrapText="1"/>
    </xf>
    <xf numFmtId="4" fontId="12" fillId="34" borderId="14" xfId="0" applyNumberFormat="1" applyFont="1" applyFill="1" applyBorder="1" applyAlignment="1">
      <alignment horizontal="right" vertical="center"/>
    </xf>
    <xf numFmtId="4" fontId="12" fillId="34" borderId="15" xfId="0" applyNumberFormat="1" applyFont="1" applyFill="1" applyBorder="1" applyAlignment="1">
      <alignment horizontal="right" vertical="center"/>
    </xf>
    <xf numFmtId="0" fontId="12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left" vertical="center"/>
    </xf>
    <xf numFmtId="4" fontId="15" fillId="0" borderId="43" xfId="0" applyNumberFormat="1" applyFont="1" applyBorder="1" applyAlignment="1">
      <alignment horizontal="right" vertical="center"/>
    </xf>
    <xf numFmtId="2" fontId="15" fillId="0" borderId="44" xfId="0" applyNumberFormat="1" applyFont="1" applyBorder="1" applyAlignment="1">
      <alignment horizontal="right" vertical="center"/>
    </xf>
    <xf numFmtId="0" fontId="15" fillId="0" borderId="45" xfId="0" applyFont="1" applyBorder="1" applyAlignment="1">
      <alignment horizontal="center" vertical="center"/>
    </xf>
    <xf numFmtId="0" fontId="15" fillId="0" borderId="46" xfId="0" applyFont="1" applyBorder="1" applyAlignment="1">
      <alignment horizontal="left" vertical="center"/>
    </xf>
    <xf numFmtId="2" fontId="15" fillId="0" borderId="47" xfId="0" applyNumberFormat="1" applyFont="1" applyBorder="1" applyAlignment="1">
      <alignment horizontal="right" vertical="center"/>
    </xf>
    <xf numFmtId="4" fontId="12" fillId="34" borderId="48" xfId="0" applyNumberFormat="1" applyFont="1" applyFill="1" applyBorder="1" applyAlignment="1">
      <alignment horizontal="right" vertical="center"/>
    </xf>
    <xf numFmtId="4" fontId="12" fillId="34" borderId="49" xfId="0" applyNumberFormat="1" applyFont="1" applyFill="1" applyBorder="1" applyAlignment="1">
      <alignment horizontal="right" vertical="center"/>
    </xf>
    <xf numFmtId="4" fontId="15" fillId="0" borderId="23" xfId="0" applyNumberFormat="1" applyFont="1" applyFill="1" applyBorder="1" applyAlignment="1">
      <alignment vertical="center"/>
    </xf>
    <xf numFmtId="4" fontId="68" fillId="0" borderId="23" xfId="0" applyNumberFormat="1" applyFont="1" applyFill="1" applyBorder="1" applyAlignment="1">
      <alignment horizontal="right" vertical="center"/>
    </xf>
    <xf numFmtId="0" fontId="12" fillId="37" borderId="11" xfId="0" applyFont="1" applyFill="1" applyBorder="1" applyAlignment="1">
      <alignment vertical="center" wrapText="1"/>
    </xf>
    <xf numFmtId="4" fontId="15" fillId="0" borderId="11" xfId="0" applyNumberFormat="1" applyFont="1" applyFill="1" applyBorder="1" applyAlignment="1">
      <alignment vertical="center"/>
    </xf>
    <xf numFmtId="0" fontId="15" fillId="37" borderId="11" xfId="0" applyFont="1" applyFill="1" applyBorder="1" applyAlignment="1">
      <alignment horizontal="right" vertical="center" wrapText="1"/>
    </xf>
    <xf numFmtId="0" fontId="12" fillId="37" borderId="11" xfId="0" applyFont="1" applyFill="1" applyBorder="1" applyAlignment="1">
      <alignment horizontal="right" vertical="center" wrapText="1"/>
    </xf>
    <xf numFmtId="4" fontId="12" fillId="36" borderId="11" xfId="0" applyNumberFormat="1" applyFont="1" applyFill="1" applyBorder="1" applyAlignment="1">
      <alignment horizontal="right" vertical="center"/>
    </xf>
    <xf numFmtId="4" fontId="15" fillId="37" borderId="12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vertical="center" wrapText="1"/>
    </xf>
    <xf numFmtId="4" fontId="15" fillId="37" borderId="23" xfId="0" applyNumberFormat="1" applyFont="1" applyFill="1" applyBorder="1" applyAlignment="1">
      <alignment horizontal="right" vertical="center"/>
    </xf>
    <xf numFmtId="2" fontId="15" fillId="37" borderId="12" xfId="0" applyNumberFormat="1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/>
    </xf>
    <xf numFmtId="0" fontId="12" fillId="38" borderId="22" xfId="0" applyFont="1" applyFill="1" applyBorder="1" applyAlignment="1">
      <alignment vertical="center" wrapText="1"/>
    </xf>
    <xf numFmtId="4" fontId="12" fillId="36" borderId="23" xfId="0" applyNumberFormat="1" applyFont="1" applyFill="1" applyBorder="1" applyAlignment="1">
      <alignment horizontal="right" vertical="center"/>
    </xf>
    <xf numFmtId="4" fontId="21" fillId="36" borderId="23" xfId="0" applyNumberFormat="1" applyFont="1" applyFill="1" applyBorder="1" applyAlignment="1">
      <alignment horizontal="right" vertical="center"/>
    </xf>
    <xf numFmtId="4" fontId="12" fillId="36" borderId="24" xfId="0" applyNumberFormat="1" applyFont="1" applyFill="1" applyBorder="1" applyAlignment="1">
      <alignment horizontal="right" vertical="center"/>
    </xf>
    <xf numFmtId="4" fontId="21" fillId="37" borderId="33" xfId="0" applyNumberFormat="1" applyFont="1" applyFill="1" applyBorder="1" applyAlignment="1">
      <alignment horizontal="right" vertical="center"/>
    </xf>
    <xf numFmtId="4" fontId="21" fillId="37" borderId="33" xfId="0" applyNumberFormat="1" applyFont="1" applyFill="1" applyBorder="1" applyAlignment="1">
      <alignment horizontal="right" vertical="center"/>
    </xf>
    <xf numFmtId="4" fontId="20" fillId="37" borderId="22" xfId="0" applyNumberFormat="1" applyFont="1" applyFill="1" applyBorder="1" applyAlignment="1">
      <alignment horizontal="right" vertical="center"/>
    </xf>
    <xf numFmtId="2" fontId="15" fillId="37" borderId="24" xfId="0" applyNumberFormat="1" applyFont="1" applyFill="1" applyBorder="1" applyAlignment="1">
      <alignment horizontal="right" vertical="center"/>
    </xf>
    <xf numFmtId="2" fontId="12" fillId="37" borderId="34" xfId="0" applyNumberFormat="1" applyFont="1" applyFill="1" applyBorder="1" applyAlignment="1">
      <alignment horizontal="right" vertical="center"/>
    </xf>
    <xf numFmtId="49" fontId="12" fillId="37" borderId="11" xfId="0" applyNumberFormat="1" applyFont="1" applyFill="1" applyBorder="1" applyAlignment="1">
      <alignment horizontal="center" vertical="center"/>
    </xf>
    <xf numFmtId="0" fontId="12" fillId="37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4" fontId="21" fillId="41" borderId="11" xfId="0" applyNumberFormat="1" applyFont="1" applyFill="1" applyBorder="1" applyAlignment="1">
      <alignment horizontal="right" vertical="center"/>
    </xf>
    <xf numFmtId="4" fontId="20" fillId="41" borderId="22" xfId="0" applyNumberFormat="1" applyFont="1" applyFill="1" applyBorder="1" applyAlignment="1">
      <alignment horizontal="right" vertical="center"/>
    </xf>
    <xf numFmtId="2" fontId="15" fillId="41" borderId="24" xfId="0" applyNumberFormat="1" applyFont="1" applyFill="1" applyBorder="1" applyAlignment="1">
      <alignment horizontal="right" vertical="center"/>
    </xf>
    <xf numFmtId="4" fontId="21" fillId="34" borderId="11" xfId="0" applyNumberFormat="1" applyFont="1" applyFill="1" applyBorder="1" applyAlignment="1">
      <alignment horizontal="right" vertical="center"/>
    </xf>
    <xf numFmtId="4" fontId="21" fillId="34" borderId="22" xfId="0" applyNumberFormat="1" applyFont="1" applyFill="1" applyBorder="1" applyAlignment="1">
      <alignment horizontal="right" vertical="center"/>
    </xf>
    <xf numFmtId="2" fontId="12" fillId="34" borderId="24" xfId="0" applyNumberFormat="1" applyFont="1" applyFill="1" applyBorder="1" applyAlignment="1">
      <alignment horizontal="right" vertical="center"/>
    </xf>
    <xf numFmtId="4" fontId="20" fillId="37" borderId="11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right" vertical="center"/>
    </xf>
    <xf numFmtId="4" fontId="12" fillId="37" borderId="11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/>
    </xf>
    <xf numFmtId="0" fontId="15" fillId="37" borderId="16" xfId="0" applyFont="1" applyFill="1" applyBorder="1" applyAlignment="1">
      <alignment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right" vertical="center"/>
    </xf>
    <xf numFmtId="0" fontId="12" fillId="37" borderId="11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5" fillId="37" borderId="11" xfId="0" applyFont="1" applyFill="1" applyBorder="1" applyAlignment="1">
      <alignment horizontal="left" vertical="center"/>
    </xf>
    <xf numFmtId="0" fontId="15" fillId="37" borderId="11" xfId="0" applyFont="1" applyFill="1" applyBorder="1" applyAlignment="1">
      <alignment horizontal="left" vertical="center" wrapText="1"/>
    </xf>
    <xf numFmtId="0" fontId="12" fillId="37" borderId="11" xfId="0" applyFont="1" applyFill="1" applyBorder="1" applyAlignment="1">
      <alignment horizontal="left" vertical="center"/>
    </xf>
    <xf numFmtId="0" fontId="12" fillId="37" borderId="11" xfId="0" applyFont="1" applyFill="1" applyBorder="1" applyAlignment="1">
      <alignment horizontal="left" vertical="center" wrapText="1"/>
    </xf>
    <xf numFmtId="49" fontId="28" fillId="37" borderId="11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38" borderId="50" xfId="0" applyFont="1" applyFill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12" fillId="37" borderId="10" xfId="0" applyFont="1" applyFill="1" applyBorder="1" applyAlignment="1">
      <alignment horizontal="center" vertical="center"/>
    </xf>
    <xf numFmtId="4" fontId="21" fillId="34" borderId="23" xfId="0" applyNumberFormat="1" applyFont="1" applyFill="1" applyBorder="1" applyAlignment="1">
      <alignment horizontal="right" vertical="center"/>
    </xf>
    <xf numFmtId="4" fontId="21" fillId="34" borderId="13" xfId="0" applyNumberFormat="1" applyFont="1" applyFill="1" applyBorder="1" applyAlignment="1">
      <alignment horizontal="right" vertical="center"/>
    </xf>
    <xf numFmtId="0" fontId="15" fillId="37" borderId="11" xfId="0" applyFont="1" applyFill="1" applyBorder="1" applyAlignment="1">
      <alignment vertical="center"/>
    </xf>
    <xf numFmtId="0" fontId="0" fillId="37" borderId="0" xfId="0" applyFill="1" applyAlignment="1">
      <alignment/>
    </xf>
    <xf numFmtId="49" fontId="15" fillId="37" borderId="32" xfId="0" applyNumberFormat="1" applyFont="1" applyFill="1" applyBorder="1" applyAlignment="1">
      <alignment horizontal="center" vertical="center"/>
    </xf>
    <xf numFmtId="0" fontId="12" fillId="37" borderId="22" xfId="0" applyFont="1" applyFill="1" applyBorder="1" applyAlignment="1">
      <alignment horizontal="center" vertical="center"/>
    </xf>
    <xf numFmtId="0" fontId="15" fillId="37" borderId="22" xfId="0" applyFont="1" applyFill="1" applyBorder="1" applyAlignment="1">
      <alignment horizontal="right" vertical="center"/>
    </xf>
    <xf numFmtId="0" fontId="15" fillId="37" borderId="22" xfId="0" applyFont="1" applyFill="1" applyBorder="1" applyAlignment="1">
      <alignment vertical="center" wrapText="1"/>
    </xf>
    <xf numFmtId="4" fontId="12" fillId="34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left"/>
    </xf>
    <xf numFmtId="4" fontId="2" fillId="0" borderId="0" xfId="0" applyNumberFormat="1" applyFont="1" applyFill="1" applyAlignment="1">
      <alignment/>
    </xf>
    <xf numFmtId="4" fontId="12" fillId="37" borderId="23" xfId="0" applyNumberFormat="1" applyFont="1" applyFill="1" applyBorder="1" applyAlignment="1">
      <alignment horizontal="right" vertical="center"/>
    </xf>
    <xf numFmtId="0" fontId="15" fillId="38" borderId="22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4" fontId="15" fillId="41" borderId="23" xfId="0" applyNumberFormat="1" applyFont="1" applyFill="1" applyBorder="1" applyAlignment="1">
      <alignment horizontal="right" vertical="center"/>
    </xf>
    <xf numFmtId="4" fontId="15" fillId="0" borderId="51" xfId="0" applyNumberFormat="1" applyFont="1" applyBorder="1" applyAlignment="1">
      <alignment horizontal="right" vertical="center"/>
    </xf>
    <xf numFmtId="2" fontId="15" fillId="37" borderId="24" xfId="0" applyNumberFormat="1" applyFont="1" applyFill="1" applyBorder="1" applyAlignment="1">
      <alignment horizontal="right" vertical="center"/>
    </xf>
    <xf numFmtId="4" fontId="20" fillId="37" borderId="12" xfId="0" applyNumberFormat="1" applyFont="1" applyFill="1" applyBorder="1" applyAlignment="1">
      <alignment horizontal="right" vertical="center"/>
    </xf>
    <xf numFmtId="4" fontId="20" fillId="41" borderId="11" xfId="0" applyNumberFormat="1" applyFont="1" applyFill="1" applyBorder="1" applyAlignment="1">
      <alignment horizontal="right" vertical="center"/>
    </xf>
    <xf numFmtId="4" fontId="15" fillId="36" borderId="24" xfId="0" applyNumberFormat="1" applyFont="1" applyFill="1" applyBorder="1" applyAlignment="1">
      <alignment horizontal="right" vertical="center"/>
    </xf>
    <xf numFmtId="2" fontId="15" fillId="36" borderId="24" xfId="0" applyNumberFormat="1" applyFont="1" applyFill="1" applyBorder="1" applyAlignment="1">
      <alignment horizontal="right" vertical="center"/>
    </xf>
    <xf numFmtId="4" fontId="12" fillId="34" borderId="24" xfId="0" applyNumberFormat="1" applyFont="1" applyFill="1" applyBorder="1" applyAlignment="1">
      <alignment horizontal="right" vertical="center"/>
    </xf>
    <xf numFmtId="4" fontId="12" fillId="34" borderId="12" xfId="0" applyNumberFormat="1" applyFont="1" applyFill="1" applyBorder="1" applyAlignment="1">
      <alignment horizontal="right" vertical="center"/>
    </xf>
    <xf numFmtId="4" fontId="21" fillId="34" borderId="12" xfId="0" applyNumberFormat="1" applyFont="1" applyFill="1" applyBorder="1" applyAlignment="1">
      <alignment horizontal="right" vertical="center"/>
    </xf>
    <xf numFmtId="2" fontId="12" fillId="34" borderId="12" xfId="0" applyNumberFormat="1" applyFont="1" applyFill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12" fillId="0" borderId="11" xfId="0" applyFont="1" applyBorder="1" applyAlignment="1">
      <alignment vertical="center" wrapText="1"/>
    </xf>
    <xf numFmtId="2" fontId="15" fillId="41" borderId="24" xfId="0" applyNumberFormat="1" applyFont="1" applyFill="1" applyBorder="1" applyAlignment="1">
      <alignment horizontal="right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right" vertical="center"/>
    </xf>
    <xf numFmtId="4" fontId="10" fillId="0" borderId="0" xfId="0" applyNumberFormat="1" applyFont="1" applyAlignment="1">
      <alignment horizontal="right"/>
    </xf>
    <xf numFmtId="0" fontId="12" fillId="0" borderId="10" xfId="0" applyFont="1" applyBorder="1" applyAlignment="1">
      <alignment horizontal="center" vertical="center"/>
    </xf>
    <xf numFmtId="0" fontId="15" fillId="0" borderId="11" xfId="0" applyFont="1" applyFill="1" applyBorder="1" applyAlignment="1">
      <alignment horizontal="left" vertical="center" wrapText="1"/>
    </xf>
    <xf numFmtId="4" fontId="12" fillId="37" borderId="12" xfId="0" applyNumberFormat="1" applyFont="1" applyFill="1" applyBorder="1" applyAlignment="1">
      <alignment horizontal="right" vertical="center"/>
    </xf>
    <xf numFmtId="4" fontId="15" fillId="0" borderId="0" xfId="0" applyNumberFormat="1" applyFont="1" applyBorder="1" applyAlignment="1">
      <alignment vertical="center"/>
    </xf>
    <xf numFmtId="4" fontId="12" fillId="38" borderId="33" xfId="0" applyNumberFormat="1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49" fontId="12" fillId="37" borderId="10" xfId="0" applyNumberFormat="1" applyFont="1" applyFill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4" fontId="20" fillId="41" borderId="22" xfId="0" applyNumberFormat="1" applyFont="1" applyFill="1" applyBorder="1" applyAlignment="1">
      <alignment horizontal="right" vertical="center"/>
    </xf>
    <xf numFmtId="4" fontId="15" fillId="0" borderId="11" xfId="0" applyNumberFormat="1" applyFont="1" applyFill="1" applyBorder="1" applyAlignment="1">
      <alignment horizontal="right" vertical="center" wrapText="1"/>
    </xf>
    <xf numFmtId="0" fontId="3" fillId="0" borderId="12" xfId="0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4" fontId="12" fillId="0" borderId="12" xfId="0" applyNumberFormat="1" applyFont="1" applyFill="1" applyBorder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15" fillId="0" borderId="12" xfId="0" applyNumberFormat="1" applyFont="1" applyFill="1" applyBorder="1" applyAlignment="1">
      <alignment horizontal="right" vertical="center"/>
    </xf>
    <xf numFmtId="0" fontId="15" fillId="37" borderId="16" xfId="0" applyFont="1" applyFill="1" applyBorder="1" applyAlignment="1">
      <alignment horizontal="right" vertical="center"/>
    </xf>
    <xf numFmtId="0" fontId="12" fillId="37" borderId="38" xfId="0" applyFont="1" applyFill="1" applyBorder="1" applyAlignment="1">
      <alignment horizontal="center" vertical="center"/>
    </xf>
    <xf numFmtId="0" fontId="12" fillId="13" borderId="14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2" fillId="37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4" fontId="12" fillId="33" borderId="13" xfId="0" applyNumberFormat="1" applyFont="1" applyFill="1" applyBorder="1" applyAlignment="1">
      <alignment horizontal="right" vertical="center"/>
    </xf>
    <xf numFmtId="4" fontId="12" fillId="34" borderId="13" xfId="0" applyNumberFormat="1" applyFont="1" applyFill="1" applyBorder="1" applyAlignment="1">
      <alignment horizontal="right" vertical="center"/>
    </xf>
    <xf numFmtId="4" fontId="21" fillId="33" borderId="22" xfId="0" applyNumberFormat="1" applyFont="1" applyFill="1" applyBorder="1" applyAlignment="1">
      <alignment horizontal="right" vertical="center"/>
    </xf>
    <xf numFmtId="4" fontId="21" fillId="33" borderId="23" xfId="0" applyNumberFormat="1" applyFont="1" applyFill="1" applyBorder="1" applyAlignment="1">
      <alignment horizontal="right" vertical="center"/>
    </xf>
    <xf numFmtId="4" fontId="21" fillId="33" borderId="13" xfId="0" applyNumberFormat="1" applyFont="1" applyFill="1" applyBorder="1" applyAlignment="1">
      <alignment horizontal="right" vertical="center"/>
    </xf>
    <xf numFmtId="4" fontId="20" fillId="39" borderId="23" xfId="0" applyNumberFormat="1" applyFont="1" applyFill="1" applyBorder="1" applyAlignment="1">
      <alignment horizontal="right" vertical="center" wrapText="1"/>
    </xf>
    <xf numFmtId="4" fontId="21" fillId="41" borderId="22" xfId="0" applyNumberFormat="1" applyFont="1" applyFill="1" applyBorder="1" applyAlignment="1">
      <alignment horizontal="right" vertical="center"/>
    </xf>
    <xf numFmtId="4" fontId="15" fillId="36" borderId="23" xfId="0" applyNumberFormat="1" applyFont="1" applyFill="1" applyBorder="1" applyAlignment="1">
      <alignment horizontal="right" vertical="center"/>
    </xf>
    <xf numFmtId="0" fontId="3" fillId="0" borderId="13" xfId="0" applyFont="1" applyBorder="1" applyAlignment="1">
      <alignment horizontal="center"/>
    </xf>
    <xf numFmtId="4" fontId="12" fillId="0" borderId="13" xfId="0" applyNumberFormat="1" applyFont="1" applyFill="1" applyBorder="1" applyAlignment="1">
      <alignment horizontal="right" vertical="center"/>
    </xf>
    <xf numFmtId="4" fontId="12" fillId="0" borderId="13" xfId="0" applyNumberFormat="1" applyFont="1" applyBorder="1" applyAlignment="1">
      <alignment horizontal="right" vertical="center"/>
    </xf>
    <xf numFmtId="4" fontId="12" fillId="37" borderId="13" xfId="0" applyNumberFormat="1" applyFont="1" applyFill="1" applyBorder="1" applyAlignment="1">
      <alignment horizontal="right" vertical="center"/>
    </xf>
    <xf numFmtId="4" fontId="15" fillId="37" borderId="13" xfId="0" applyNumberFormat="1" applyFont="1" applyFill="1" applyBorder="1" applyAlignment="1">
      <alignment horizontal="right" vertical="center"/>
    </xf>
    <xf numFmtId="4" fontId="12" fillId="13" borderId="52" xfId="0" applyNumberFormat="1" applyFont="1" applyFill="1" applyBorder="1" applyAlignment="1">
      <alignment horizontal="right" vertical="center"/>
    </xf>
    <xf numFmtId="0" fontId="28" fillId="37" borderId="11" xfId="0" applyFont="1" applyFill="1" applyBorder="1" applyAlignment="1">
      <alignment horizontal="center" vertical="center" wrapText="1"/>
    </xf>
    <xf numFmtId="0" fontId="12" fillId="37" borderId="16" xfId="0" applyFont="1" applyFill="1" applyBorder="1" applyAlignment="1">
      <alignment horizontal="center" vertical="center"/>
    </xf>
    <xf numFmtId="4" fontId="15" fillId="0" borderId="53" xfId="0" applyNumberFormat="1" applyFont="1" applyFill="1" applyBorder="1" applyAlignment="1">
      <alignment horizontal="right" vertical="center"/>
    </xf>
    <xf numFmtId="0" fontId="15" fillId="37" borderId="11" xfId="0" applyFont="1" applyFill="1" applyBorder="1" applyAlignment="1">
      <alignment horizontal="right" vertical="center" wrapText="1"/>
    </xf>
    <xf numFmtId="4" fontId="20" fillId="41" borderId="11" xfId="0" applyNumberFormat="1" applyFont="1" applyFill="1" applyBorder="1" applyAlignment="1">
      <alignment horizontal="right" vertical="center"/>
    </xf>
    <xf numFmtId="0" fontId="10" fillId="0" borderId="54" xfId="0" applyFont="1" applyBorder="1" applyAlignment="1">
      <alignment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4" fontId="3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2" fontId="10" fillId="0" borderId="0" xfId="0" applyNumberFormat="1" applyFont="1" applyAlignment="1">
      <alignment vertical="center"/>
    </xf>
    <xf numFmtId="0" fontId="0" fillId="0" borderId="11" xfId="0" applyBorder="1" applyAlignment="1">
      <alignment/>
    </xf>
    <xf numFmtId="4" fontId="68" fillId="37" borderId="11" xfId="0" applyNumberFormat="1" applyFont="1" applyFill="1" applyBorder="1" applyAlignment="1">
      <alignment horizontal="right" vertical="center"/>
    </xf>
    <xf numFmtId="4" fontId="68" fillId="37" borderId="11" xfId="0" applyNumberFormat="1" applyFont="1" applyFill="1" applyBorder="1" applyAlignment="1">
      <alignment horizontal="right" vertical="center"/>
    </xf>
    <xf numFmtId="0" fontId="68" fillId="0" borderId="11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4" fontId="15" fillId="0" borderId="23" xfId="0" applyNumberFormat="1" applyFont="1" applyFill="1" applyBorder="1" applyAlignment="1">
      <alignment horizontal="right" vertical="center"/>
    </xf>
    <xf numFmtId="4" fontId="15" fillId="0" borderId="46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/>
    </xf>
    <xf numFmtId="0" fontId="15" fillId="37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Font="1" applyAlignment="1">
      <alignment horizontal="center"/>
    </xf>
    <xf numFmtId="49" fontId="68" fillId="0" borderId="32" xfId="0" applyNumberFormat="1" applyFont="1" applyFill="1" applyBorder="1" applyAlignment="1">
      <alignment horizontal="center" vertical="center"/>
    </xf>
    <xf numFmtId="0" fontId="69" fillId="38" borderId="22" xfId="0" applyFont="1" applyFill="1" applyBorder="1" applyAlignment="1">
      <alignment horizontal="center" vertical="center"/>
    </xf>
    <xf numFmtId="0" fontId="68" fillId="38" borderId="22" xfId="0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4" fontId="10" fillId="0" borderId="11" xfId="0" applyNumberFormat="1" applyFont="1" applyBorder="1" applyAlignment="1">
      <alignment vertical="center"/>
    </xf>
    <xf numFmtId="4" fontId="30" fillId="0" borderId="11" xfId="0" applyNumberFormat="1" applyFont="1" applyBorder="1" applyAlignment="1">
      <alignment vertical="center"/>
    </xf>
    <xf numFmtId="4" fontId="30" fillId="0" borderId="11" xfId="0" applyNumberFormat="1" applyFont="1" applyFill="1" applyBorder="1" applyAlignment="1">
      <alignment vertical="center"/>
    </xf>
    <xf numFmtId="0" fontId="30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12" fillId="36" borderId="11" xfId="0" applyFont="1" applyFill="1" applyBorder="1" applyAlignment="1">
      <alignment horizontal="center" vertical="center" wrapText="1"/>
    </xf>
    <xf numFmtId="4" fontId="15" fillId="37" borderId="11" xfId="0" applyNumberFormat="1" applyFont="1" applyFill="1" applyBorder="1" applyAlignment="1">
      <alignment vertical="center"/>
    </xf>
    <xf numFmtId="0" fontId="3" fillId="37" borderId="0" xfId="0" applyFont="1" applyFill="1" applyAlignment="1">
      <alignment horizontal="right"/>
    </xf>
    <xf numFmtId="4" fontId="24" fillId="37" borderId="0" xfId="0" applyNumberFormat="1" applyFont="1" applyFill="1" applyAlignment="1">
      <alignment horizontal="right"/>
    </xf>
    <xf numFmtId="0" fontId="24" fillId="37" borderId="0" xfId="0" applyFont="1" applyFill="1" applyAlignment="1">
      <alignment horizontal="right"/>
    </xf>
    <xf numFmtId="4" fontId="3" fillId="37" borderId="0" xfId="0" applyNumberFormat="1" applyFont="1" applyFill="1" applyAlignment="1">
      <alignment horizontal="right"/>
    </xf>
    <xf numFmtId="1" fontId="15" fillId="37" borderId="16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8" fillId="0" borderId="55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0" fontId="12" fillId="37" borderId="39" xfId="0" applyFont="1" applyFill="1" applyBorder="1" applyAlignment="1">
      <alignment horizontal="center" vertical="center" wrapText="1"/>
    </xf>
    <xf numFmtId="0" fontId="12" fillId="37" borderId="22" xfId="0" applyFont="1" applyFill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8" fillId="0" borderId="57" xfId="0" applyFont="1" applyFill="1" applyBorder="1" applyAlignment="1">
      <alignment horizontal="center" vertical="center" wrapText="1"/>
    </xf>
    <xf numFmtId="0" fontId="8" fillId="0" borderId="58" xfId="0" applyFont="1" applyFill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12" fillId="37" borderId="40" xfId="0" applyFont="1" applyFill="1" applyBorder="1" applyAlignment="1">
      <alignment horizontal="center" vertical="center" wrapText="1"/>
    </xf>
    <xf numFmtId="0" fontId="12" fillId="37" borderId="13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0" fontId="12" fillId="37" borderId="12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 wrapText="1"/>
    </xf>
    <xf numFmtId="0" fontId="27" fillId="35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/>
    </xf>
    <xf numFmtId="0" fontId="26" fillId="36" borderId="13" xfId="0" applyFont="1" applyFill="1" applyBorder="1" applyAlignment="1">
      <alignment horizontal="center" vertical="center" wrapText="1"/>
    </xf>
    <xf numFmtId="0" fontId="26" fillId="36" borderId="60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 wrapText="1"/>
    </xf>
    <xf numFmtId="0" fontId="26" fillId="35" borderId="11" xfId="0" applyFont="1" applyFill="1" applyBorder="1" applyAlignment="1">
      <alignment horizontal="center" vertical="center"/>
    </xf>
    <xf numFmtId="0" fontId="27" fillId="35" borderId="61" xfId="0" applyFont="1" applyFill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center" vertical="center" wrapText="1"/>
    </xf>
    <xf numFmtId="0" fontId="27" fillId="35" borderId="53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center" vertical="center" wrapText="1"/>
    </xf>
    <xf numFmtId="0" fontId="27" fillId="35" borderId="23" xfId="0" applyFont="1" applyFill="1" applyBorder="1" applyAlignment="1">
      <alignment horizontal="center" vertical="center" wrapText="1"/>
    </xf>
    <xf numFmtId="0" fontId="27" fillId="35" borderId="31" xfId="0" applyFont="1" applyFill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49" fontId="15" fillId="0" borderId="60" xfId="0" applyNumberFormat="1" applyFont="1" applyFill="1" applyBorder="1" applyAlignment="1">
      <alignment horizontal="center" vertical="center"/>
    </xf>
    <xf numFmtId="49" fontId="15" fillId="0" borderId="26" xfId="0" applyNumberFormat="1" applyFon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/>
    </xf>
    <xf numFmtId="49" fontId="15" fillId="0" borderId="28" xfId="0" applyNumberFormat="1" applyFont="1" applyBorder="1" applyAlignment="1">
      <alignment horizontal="center" vertical="center"/>
    </xf>
    <xf numFmtId="49" fontId="15" fillId="0" borderId="29" xfId="0" applyNumberFormat="1" applyFont="1" applyBorder="1" applyAlignment="1">
      <alignment horizontal="center" vertical="center"/>
    </xf>
    <xf numFmtId="49" fontId="15" fillId="0" borderId="30" xfId="0" applyNumberFormat="1" applyFont="1" applyBorder="1" applyAlignment="1">
      <alignment horizontal="center" vertical="center"/>
    </xf>
    <xf numFmtId="49" fontId="15" fillId="0" borderId="31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60" xfId="0" applyNumberFormat="1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38" borderId="36" xfId="0" applyFont="1" applyFill="1" applyBorder="1" applyAlignment="1">
      <alignment horizontal="center" vertical="center" wrapText="1"/>
    </xf>
    <xf numFmtId="0" fontId="12" fillId="38" borderId="12" xfId="0" applyFont="1" applyFill="1" applyBorder="1" applyAlignment="1">
      <alignment horizontal="center" vertical="center" wrapText="1"/>
    </xf>
    <xf numFmtId="0" fontId="12" fillId="37" borderId="37" xfId="0" applyFont="1" applyFill="1" applyBorder="1" applyAlignment="1">
      <alignment horizontal="center" vertical="center" wrapText="1"/>
    </xf>
    <xf numFmtId="0" fontId="12" fillId="37" borderId="11" xfId="0" applyFont="1" applyFill="1" applyBorder="1" applyAlignment="1">
      <alignment horizontal="center" vertical="center" wrapText="1"/>
    </xf>
    <xf numFmtId="49" fontId="12" fillId="0" borderId="30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12" fillId="37" borderId="10" xfId="0" applyNumberFormat="1" applyFont="1" applyFill="1" applyBorder="1" applyAlignment="1">
      <alignment horizontal="center" vertical="center"/>
    </xf>
    <xf numFmtId="49" fontId="12" fillId="37" borderId="60" xfId="0" applyNumberFormat="1" applyFont="1" applyFill="1" applyBorder="1" applyAlignment="1">
      <alignment horizontal="center" vertical="center"/>
    </xf>
    <xf numFmtId="0" fontId="22" fillId="38" borderId="50" xfId="0" applyFont="1" applyFill="1" applyBorder="1" applyAlignment="1">
      <alignment horizontal="center" vertical="center"/>
    </xf>
    <xf numFmtId="0" fontId="22" fillId="38" borderId="62" xfId="0" applyFont="1" applyFill="1" applyBorder="1" applyAlignment="1">
      <alignment horizontal="center" vertical="center"/>
    </xf>
    <xf numFmtId="0" fontId="12" fillId="33" borderId="63" xfId="0" applyFont="1" applyFill="1" applyBorder="1" applyAlignment="1">
      <alignment horizontal="center" vertical="center"/>
    </xf>
    <xf numFmtId="0" fontId="12" fillId="33" borderId="6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55" xfId="0" applyFont="1" applyFill="1" applyBorder="1" applyAlignment="1">
      <alignment horizontal="left" vertical="center" wrapText="1"/>
    </xf>
    <xf numFmtId="0" fontId="11" fillId="0" borderId="55" xfId="0" applyFont="1" applyFill="1" applyBorder="1" applyAlignment="1">
      <alignment horizontal="left" vertical="center" wrapText="1"/>
    </xf>
    <xf numFmtId="0" fontId="8" fillId="0" borderId="55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571500</xdr:colOff>
      <xdr:row>0</xdr:row>
      <xdr:rowOff>19050</xdr:rowOff>
    </xdr:from>
    <xdr:to>
      <xdr:col>11</xdr:col>
      <xdr:colOff>228600</xdr:colOff>
      <xdr:row>7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9050"/>
          <a:ext cx="57531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zoomScale="124" zoomScaleNormal="124" zoomScaleSheetLayoutView="100" zoomScalePageLayoutView="0" workbookViewId="0" topLeftCell="A10">
      <selection activeCell="A18" sqref="A18:M21"/>
    </sheetView>
  </sheetViews>
  <sheetFormatPr defaultColWidth="9.140625" defaultRowHeight="12.75"/>
  <cols>
    <col min="12" max="12" width="12.28125" style="0" customWidth="1"/>
  </cols>
  <sheetData>
    <row r="1" spans="1:13" ht="12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2.75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3" ht="24" customHeight="1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ht="12.75" customHeight="1"/>
    <row r="6" ht="12.75" customHeight="1"/>
    <row r="7" ht="12.75" customHeight="1"/>
    <row r="8" spans="9:11" ht="15">
      <c r="I8" s="7"/>
      <c r="J8" s="7"/>
      <c r="K8" s="7"/>
    </row>
    <row r="9" spans="9:11" ht="15">
      <c r="I9" s="7"/>
      <c r="J9" s="8"/>
      <c r="K9" s="7"/>
    </row>
    <row r="10" spans="9:11" ht="15">
      <c r="I10" s="7"/>
      <c r="J10" s="8"/>
      <c r="K10" s="7"/>
    </row>
    <row r="11" spans="8:11" ht="12.75" customHeight="1">
      <c r="H11" s="9"/>
      <c r="I11" s="7"/>
      <c r="J11" s="10"/>
      <c r="K11" s="11"/>
    </row>
    <row r="12" ht="12.75" customHeight="1"/>
    <row r="13" ht="7.5" customHeight="1"/>
    <row r="14" spans="11:12" ht="17.25" customHeight="1">
      <c r="K14" s="28"/>
      <c r="L14" s="28"/>
    </row>
    <row r="15" spans="11:13" ht="15.75">
      <c r="K15" s="452"/>
      <c r="L15" s="452"/>
      <c r="M15" s="452"/>
    </row>
    <row r="16" ht="6" customHeight="1"/>
    <row r="17" ht="12.75" customHeight="1"/>
    <row r="18" spans="1:13" ht="12.75" customHeight="1">
      <c r="A18" s="450" t="s">
        <v>627</v>
      </c>
      <c r="B18" s="450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</row>
    <row r="19" spans="1:13" ht="12.75" customHeight="1">
      <c r="A19" s="450"/>
      <c r="B19" s="450"/>
      <c r="C19" s="450"/>
      <c r="D19" s="450"/>
      <c r="E19" s="450"/>
      <c r="F19" s="450"/>
      <c r="G19" s="450"/>
      <c r="H19" s="450"/>
      <c r="I19" s="450"/>
      <c r="J19" s="450"/>
      <c r="K19" s="450"/>
      <c r="L19" s="450"/>
      <c r="M19" s="450"/>
    </row>
    <row r="20" spans="1:13" ht="34.5" customHeight="1">
      <c r="A20" s="450"/>
      <c r="B20" s="450"/>
      <c r="C20" s="450"/>
      <c r="D20" s="450"/>
      <c r="E20" s="450"/>
      <c r="F20" s="450"/>
      <c r="G20" s="450"/>
      <c r="H20" s="450"/>
      <c r="I20" s="450"/>
      <c r="J20" s="450"/>
      <c r="K20" s="450"/>
      <c r="L20" s="450"/>
      <c r="M20" s="450"/>
    </row>
    <row r="21" spans="1:13" ht="16.5" customHeight="1">
      <c r="A21" s="450"/>
      <c r="B21" s="450"/>
      <c r="C21" s="450"/>
      <c r="D21" s="450"/>
      <c r="E21" s="450"/>
      <c r="F21" s="450"/>
      <c r="G21" s="450"/>
      <c r="H21" s="450"/>
      <c r="I21" s="450"/>
      <c r="J21" s="450"/>
      <c r="K21" s="450"/>
      <c r="L21" s="450"/>
      <c r="M21" s="450"/>
    </row>
    <row r="22" ht="12.75" customHeight="1"/>
    <row r="23" ht="12.75" customHeight="1"/>
    <row r="24" ht="12.75" customHeight="1"/>
    <row r="25" ht="12.75" customHeight="1"/>
    <row r="26" ht="12.75" customHeight="1"/>
    <row r="27" ht="9" customHeight="1"/>
    <row r="31" spans="8:13" ht="15">
      <c r="H31" s="425"/>
      <c r="I31" s="425"/>
      <c r="J31" s="449"/>
      <c r="K31" s="449"/>
      <c r="L31" s="449"/>
      <c r="M31" s="449"/>
    </row>
    <row r="32" spans="1:13" ht="15">
      <c r="A32" s="366" t="s">
        <v>680</v>
      </c>
      <c r="B32" s="366"/>
      <c r="C32" s="366"/>
      <c r="D32" s="366"/>
      <c r="E32" s="366"/>
      <c r="F32" s="366"/>
      <c r="G32" s="366"/>
      <c r="H32" s="425" t="s">
        <v>626</v>
      </c>
      <c r="I32" s="425"/>
      <c r="J32" s="449"/>
      <c r="K32" s="449"/>
      <c r="L32" s="449"/>
      <c r="M32" s="449"/>
    </row>
    <row r="33" spans="1:12" ht="15">
      <c r="A33" s="366"/>
      <c r="B33" s="366"/>
      <c r="C33" s="366"/>
      <c r="D33" s="366"/>
      <c r="E33" s="366"/>
      <c r="F33" s="366"/>
      <c r="G33" s="366"/>
      <c r="H33" s="366"/>
      <c r="I33" s="366"/>
      <c r="J33" s="366"/>
      <c r="K33" s="366"/>
      <c r="L33" s="366"/>
    </row>
    <row r="37" spans="1:13" ht="15.75">
      <c r="A37" s="21"/>
      <c r="B37" s="21"/>
      <c r="C37" s="21"/>
      <c r="D37" s="21"/>
      <c r="E37" s="21"/>
      <c r="F37" s="21"/>
      <c r="G37" s="21"/>
      <c r="H37" s="451"/>
      <c r="I37" s="451"/>
      <c r="J37" s="451"/>
      <c r="K37" s="451"/>
      <c r="L37" s="451"/>
      <c r="M37" s="451"/>
    </row>
    <row r="38" spans="1:13" ht="15.75">
      <c r="A38" s="451"/>
      <c r="B38" s="451"/>
      <c r="C38" s="451"/>
      <c r="D38" s="451"/>
      <c r="E38" s="451"/>
      <c r="F38" s="451"/>
      <c r="G38" s="451"/>
      <c r="H38" s="451"/>
      <c r="I38" s="451"/>
      <c r="J38" s="451"/>
      <c r="K38" s="451"/>
      <c r="L38" s="451"/>
      <c r="M38" s="451"/>
    </row>
  </sheetData>
  <sheetProtection/>
  <mergeCells count="6">
    <mergeCell ref="J32:M32"/>
    <mergeCell ref="A18:M21"/>
    <mergeCell ref="H37:M37"/>
    <mergeCell ref="K15:M15"/>
    <mergeCell ref="A38:M38"/>
    <mergeCell ref="J31:M31"/>
  </mergeCells>
  <printOptions/>
  <pageMargins left="0.75" right="0.75" top="1" bottom="1" header="0.5" footer="0.5"/>
  <pageSetup horizontalDpi="600" verticalDpi="600" orientation="landscape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0"/>
  <sheetViews>
    <sheetView zoomScalePageLayoutView="0" workbookViewId="0" topLeftCell="A1">
      <selection activeCell="M60" sqref="M60"/>
    </sheetView>
  </sheetViews>
  <sheetFormatPr defaultColWidth="9.140625" defaultRowHeight="12.75"/>
  <cols>
    <col min="1" max="1" width="11.00390625" style="0" bestFit="1" customWidth="1"/>
    <col min="2" max="2" width="66.8515625" style="0" customWidth="1"/>
    <col min="3" max="3" width="17.57421875" style="14" customWidth="1"/>
    <col min="4" max="4" width="17.28125" style="14" customWidth="1"/>
    <col min="5" max="5" width="11.28125" style="14" customWidth="1"/>
    <col min="6" max="6" width="9.140625" style="0" customWidth="1"/>
    <col min="7" max="7" width="14.8515625" style="0" customWidth="1"/>
  </cols>
  <sheetData>
    <row r="1" spans="1:5" ht="47.25" customHeight="1" thickBot="1">
      <c r="A1" s="453" t="s">
        <v>561</v>
      </c>
      <c r="B1" s="453"/>
      <c r="C1" s="453"/>
      <c r="D1" s="453"/>
      <c r="E1" s="453"/>
    </row>
    <row r="2" spans="1:5" ht="18.75" customHeight="1" thickTop="1">
      <c r="A2" s="454" t="s">
        <v>54</v>
      </c>
      <c r="B2" s="456" t="s">
        <v>191</v>
      </c>
      <c r="C2" s="460" t="s">
        <v>633</v>
      </c>
      <c r="D2" s="460" t="s">
        <v>562</v>
      </c>
      <c r="E2" s="458" t="s">
        <v>105</v>
      </c>
    </row>
    <row r="3" spans="1:5" ht="29.25" customHeight="1">
      <c r="A3" s="455"/>
      <c r="B3" s="457"/>
      <c r="C3" s="461"/>
      <c r="D3" s="461"/>
      <c r="E3" s="459"/>
    </row>
    <row r="4" spans="1:5" s="5" customFormat="1" ht="12.75" customHeight="1">
      <c r="A4" s="90">
        <v>1</v>
      </c>
      <c r="B4" s="88">
        <v>2</v>
      </c>
      <c r="C4" s="88">
        <v>3</v>
      </c>
      <c r="D4" s="393">
        <v>4</v>
      </c>
      <c r="E4" s="89" t="s">
        <v>542</v>
      </c>
    </row>
    <row r="5" spans="1:5" ht="18" customHeight="1">
      <c r="A5" s="247"/>
      <c r="B5" s="36" t="s">
        <v>227</v>
      </c>
      <c r="C5" s="37">
        <f>C6+C13+C19+C21</f>
        <v>26692984.77</v>
      </c>
      <c r="D5" s="37">
        <f>D6+D13+D19+D21</f>
        <v>27055000</v>
      </c>
      <c r="E5" s="39">
        <f>IF(C5&gt;0,D5/C5*100,0)</f>
        <v>101.35621862118194</v>
      </c>
    </row>
    <row r="6" spans="1:5" ht="15" customHeight="1">
      <c r="A6" s="269">
        <v>710000</v>
      </c>
      <c r="B6" s="270" t="s">
        <v>200</v>
      </c>
      <c r="C6" s="44">
        <f>C7+C8+C9+C10+C11+C12</f>
        <v>14777000</v>
      </c>
      <c r="D6" s="44">
        <f>D7+D8+D9+D10+D11+D12</f>
        <v>15626000</v>
      </c>
      <c r="E6" s="46">
        <f aca="true" t="shared" si="0" ref="E6:E36">IF(C6&gt;0,D6/C6*100,0)</f>
        <v>105.74541517222711</v>
      </c>
    </row>
    <row r="7" spans="1:5" ht="12" customHeight="1">
      <c r="A7" s="241">
        <v>711100</v>
      </c>
      <c r="B7" s="49" t="s">
        <v>175</v>
      </c>
      <c r="C7" s="76">
        <f>'B.pr. i prim. za nef. im.'!D7</f>
        <v>0</v>
      </c>
      <c r="D7" s="76">
        <f>'B.pr. i prim. za nef. im.'!E7</f>
        <v>0</v>
      </c>
      <c r="E7" s="298">
        <f t="shared" si="0"/>
        <v>0</v>
      </c>
    </row>
    <row r="8" spans="1:5" ht="12.75">
      <c r="A8" s="241">
        <v>713000</v>
      </c>
      <c r="B8" s="57" t="s">
        <v>4</v>
      </c>
      <c r="C8" s="76">
        <f>'B.pr. i prim. za nef. im.'!D9</f>
        <v>1550000</v>
      </c>
      <c r="D8" s="76">
        <f>'B.pr. i prim. za nef. im.'!E9</f>
        <v>1660000</v>
      </c>
      <c r="E8" s="298">
        <f t="shared" si="0"/>
        <v>107.0967741935484</v>
      </c>
    </row>
    <row r="9" spans="1:5" ht="14.25" customHeight="1">
      <c r="A9" s="241">
        <v>714000</v>
      </c>
      <c r="B9" s="57" t="s">
        <v>8</v>
      </c>
      <c r="C9" s="76">
        <f>'B.pr. i prim. za nef. im.'!D12</f>
        <v>265000</v>
      </c>
      <c r="D9" s="76">
        <f>'B.pr. i prim. za nef. im.'!E12</f>
        <v>265000</v>
      </c>
      <c r="E9" s="298">
        <f t="shared" si="0"/>
        <v>100</v>
      </c>
    </row>
    <row r="10" spans="1:5" ht="14.25" customHeight="1">
      <c r="A10" s="241">
        <v>715000</v>
      </c>
      <c r="B10" s="57" t="s">
        <v>143</v>
      </c>
      <c r="C10" s="76">
        <f>'B.pr. i prim. za nef. im.'!D14</f>
        <v>2000</v>
      </c>
      <c r="D10" s="76">
        <f>'B.pr. i prim. za nef. im.'!E14</f>
        <v>1000</v>
      </c>
      <c r="E10" s="298">
        <f t="shared" si="0"/>
        <v>50</v>
      </c>
    </row>
    <row r="11" spans="1:5" ht="14.25" customHeight="1">
      <c r="A11" s="241">
        <v>717000</v>
      </c>
      <c r="B11" s="49" t="s">
        <v>276</v>
      </c>
      <c r="C11" s="76">
        <f>'B.pr. i prim. za nef. im.'!D18</f>
        <v>12800000</v>
      </c>
      <c r="D11" s="76">
        <f>'B.pr. i prim. za nef. im.'!E18</f>
        <v>13550000</v>
      </c>
      <c r="E11" s="298">
        <f t="shared" si="0"/>
        <v>105.859375</v>
      </c>
    </row>
    <row r="12" spans="1:5" ht="14.25" customHeight="1">
      <c r="A12" s="241">
        <v>719000</v>
      </c>
      <c r="B12" s="57" t="s">
        <v>277</v>
      </c>
      <c r="C12" s="76">
        <f>'B.pr. i prim. za nef. im.'!D20</f>
        <v>160000</v>
      </c>
      <c r="D12" s="76">
        <f>'B.pr. i prim. za nef. im.'!E20</f>
        <v>150000</v>
      </c>
      <c r="E12" s="298">
        <f t="shared" si="0"/>
        <v>93.75</v>
      </c>
    </row>
    <row r="13" spans="1:7" ht="15" customHeight="1">
      <c r="A13" s="269">
        <v>720000</v>
      </c>
      <c r="B13" s="270" t="s">
        <v>203</v>
      </c>
      <c r="C13" s="44">
        <f>SUM(C14:C18)</f>
        <v>9360120</v>
      </c>
      <c r="D13" s="44">
        <f>SUM(D14:D18)</f>
        <v>9336300</v>
      </c>
      <c r="E13" s="46">
        <f t="shared" si="0"/>
        <v>99.74551608312714</v>
      </c>
      <c r="G13" s="1"/>
    </row>
    <row r="14" spans="1:7" ht="14.25" customHeight="1">
      <c r="A14" s="245">
        <v>721000</v>
      </c>
      <c r="B14" s="49" t="s">
        <v>144</v>
      </c>
      <c r="C14" s="76">
        <f>'B.pr. i prim. za nef. im.'!D23</f>
        <v>409000</v>
      </c>
      <c r="D14" s="76">
        <f>'B.pr. i prim. za nef. im.'!E23</f>
        <v>391410</v>
      </c>
      <c r="E14" s="298">
        <f t="shared" si="0"/>
        <v>95.69926650366747</v>
      </c>
      <c r="G14" s="1"/>
    </row>
    <row r="15" spans="1:5" ht="14.25" customHeight="1">
      <c r="A15" s="245">
        <v>722000</v>
      </c>
      <c r="B15" s="54" t="s">
        <v>147</v>
      </c>
      <c r="C15" s="76">
        <f>'B.pr. i prim. za nef. im.'!D31</f>
        <v>8760620</v>
      </c>
      <c r="D15" s="76">
        <f>'B.pr. i prim. za nef. im.'!E31</f>
        <v>8738290</v>
      </c>
      <c r="E15" s="298">
        <f t="shared" si="0"/>
        <v>99.74510936440572</v>
      </c>
    </row>
    <row r="16" spans="1:5" ht="14.25" customHeight="1">
      <c r="A16" s="245">
        <v>723000</v>
      </c>
      <c r="B16" s="57" t="s">
        <v>17</v>
      </c>
      <c r="C16" s="382">
        <f>'B.pr. i prim. za nef. im.'!D75</f>
        <v>85000</v>
      </c>
      <c r="D16" s="382">
        <f>'B.pr. i prim. za nef. im.'!E75</f>
        <v>94000</v>
      </c>
      <c r="E16" s="298">
        <f t="shared" si="0"/>
        <v>110.58823529411765</v>
      </c>
    </row>
    <row r="17" spans="1:5" ht="25.5" customHeight="1">
      <c r="A17" s="262">
        <v>728000</v>
      </c>
      <c r="B17" s="325" t="s">
        <v>468</v>
      </c>
      <c r="C17" s="382">
        <f>'B.pr. i prim. za nef. im.'!D77</f>
        <v>40500</v>
      </c>
      <c r="D17" s="382">
        <f>'B.pr. i prim. za nef. im.'!E77</f>
        <v>42600</v>
      </c>
      <c r="E17" s="298">
        <f t="shared" si="0"/>
        <v>105.18518518518518</v>
      </c>
    </row>
    <row r="18" spans="1:5" ht="12.75">
      <c r="A18" s="245">
        <v>729000</v>
      </c>
      <c r="B18" s="54" t="s">
        <v>18</v>
      </c>
      <c r="C18" s="382">
        <f>'B.pr. i prim. za nef. im.'!D81</f>
        <v>65000</v>
      </c>
      <c r="D18" s="382">
        <f>'B.pr. i prim. za nef. im.'!E81</f>
        <v>70000</v>
      </c>
      <c r="E18" s="298">
        <f t="shared" si="0"/>
        <v>107.6923076923077</v>
      </c>
    </row>
    <row r="19" spans="1:5" ht="15" customHeight="1">
      <c r="A19" s="269">
        <v>730000</v>
      </c>
      <c r="B19" s="271" t="s">
        <v>208</v>
      </c>
      <c r="C19" s="44">
        <f>C20</f>
        <v>356528.23</v>
      </c>
      <c r="D19" s="44">
        <f>D20</f>
        <v>0</v>
      </c>
      <c r="E19" s="46">
        <f t="shared" si="0"/>
        <v>0</v>
      </c>
    </row>
    <row r="20" spans="1:5" ht="15" customHeight="1">
      <c r="A20" s="241">
        <v>731000</v>
      </c>
      <c r="B20" s="75" t="s">
        <v>128</v>
      </c>
      <c r="C20" s="76">
        <f>'B.pr. i prim. za nef. im.'!D83</f>
        <v>356528.23</v>
      </c>
      <c r="D20" s="76">
        <f>'B.pr. i prim. za nef. im.'!E83</f>
        <v>0</v>
      </c>
      <c r="E20" s="298">
        <f t="shared" si="0"/>
        <v>0</v>
      </c>
    </row>
    <row r="21" spans="1:7" s="2" customFormat="1" ht="15" customHeight="1">
      <c r="A21" s="269">
        <v>780000</v>
      </c>
      <c r="B21" s="240" t="s">
        <v>278</v>
      </c>
      <c r="C21" s="44">
        <f>C22</f>
        <v>2199336.54</v>
      </c>
      <c r="D21" s="44">
        <f>D22</f>
        <v>2092700</v>
      </c>
      <c r="E21" s="46">
        <f t="shared" si="0"/>
        <v>95.15142234666824</v>
      </c>
      <c r="G21"/>
    </row>
    <row r="22" spans="1:7" s="2" customFormat="1" ht="15" customHeight="1">
      <c r="A22" s="241">
        <v>787000</v>
      </c>
      <c r="B22" s="57" t="s">
        <v>279</v>
      </c>
      <c r="C22" s="76">
        <f>'B.pr. i prim. za nef. im.'!D92</f>
        <v>2199336.54</v>
      </c>
      <c r="D22" s="76">
        <f>'B.pr. i prim. za nef. im.'!E92</f>
        <v>2092700</v>
      </c>
      <c r="E22" s="298">
        <f t="shared" si="0"/>
        <v>95.15142234666824</v>
      </c>
      <c r="G22"/>
    </row>
    <row r="23" spans="1:7" s="2" customFormat="1" ht="15" customHeight="1">
      <c r="A23" s="245"/>
      <c r="B23" s="36" t="s">
        <v>282</v>
      </c>
      <c r="C23" s="38">
        <f>C24+C33+C35</f>
        <v>23535271.29</v>
      </c>
      <c r="D23" s="38">
        <f>D24+D33+D35</f>
        <v>23809155</v>
      </c>
      <c r="E23" s="39">
        <f t="shared" si="0"/>
        <v>101.16371596751625</v>
      </c>
      <c r="G23"/>
    </row>
    <row r="24" spans="1:7" s="2" customFormat="1" ht="15" customHeight="1">
      <c r="A24" s="269">
        <v>410000</v>
      </c>
      <c r="B24" s="240" t="s">
        <v>228</v>
      </c>
      <c r="C24" s="44">
        <f>SUM(C25:C32)</f>
        <v>23266630.89</v>
      </c>
      <c r="D24" s="44">
        <f>SUM(D25:D32)</f>
        <v>23364655</v>
      </c>
      <c r="E24" s="46">
        <f t="shared" si="0"/>
        <v>100.4213077108733</v>
      </c>
      <c r="G24" s="1"/>
    </row>
    <row r="25" spans="1:7" s="2" customFormat="1" ht="14.25" customHeight="1">
      <c r="A25" s="241">
        <v>411000</v>
      </c>
      <c r="B25" s="75" t="s">
        <v>113</v>
      </c>
      <c r="C25" s="76">
        <f>'B.rash. i izdaci za nef. im.'!C6</f>
        <v>10864600</v>
      </c>
      <c r="D25" s="76">
        <f>'B.rash. i izdaci za nef. im.'!D6</f>
        <v>11053300</v>
      </c>
      <c r="E25" s="298">
        <f t="shared" si="0"/>
        <v>101.73683338549048</v>
      </c>
      <c r="G25" s="1"/>
    </row>
    <row r="26" spans="1:7" s="2" customFormat="1" ht="12.75">
      <c r="A26" s="241">
        <v>412000</v>
      </c>
      <c r="B26" s="180" t="s">
        <v>114</v>
      </c>
      <c r="C26" s="76">
        <f>'B.rash. i izdaci za nef. im.'!C11</f>
        <v>4378198.370000001</v>
      </c>
      <c r="D26" s="76">
        <f>'B.rash. i izdaci za nef. im.'!D11</f>
        <v>4426330</v>
      </c>
      <c r="E26" s="298">
        <f t="shared" si="0"/>
        <v>101.09934785800942</v>
      </c>
      <c r="G26"/>
    </row>
    <row r="27" spans="1:7" s="2" customFormat="1" ht="12.75">
      <c r="A27" s="241">
        <v>413000</v>
      </c>
      <c r="B27" s="49" t="s">
        <v>124</v>
      </c>
      <c r="C27" s="76">
        <f>'B.rash. i izdaci za nef. im.'!C21</f>
        <v>255000</v>
      </c>
      <c r="D27" s="76">
        <f>'B.rash. i izdaci za nef. im.'!D21</f>
        <v>294000</v>
      </c>
      <c r="E27" s="298">
        <f t="shared" si="0"/>
        <v>115.29411764705881</v>
      </c>
      <c r="G27"/>
    </row>
    <row r="28" spans="1:7" s="2" customFormat="1" ht="12.75">
      <c r="A28" s="241">
        <v>414000</v>
      </c>
      <c r="B28" s="75" t="s">
        <v>165</v>
      </c>
      <c r="C28" s="76">
        <f>'B.rash. i izdaci za nef. im.'!C25</f>
        <v>550000</v>
      </c>
      <c r="D28" s="76">
        <f>'B.rash. i izdaci za nef. im.'!D25</f>
        <v>550000</v>
      </c>
      <c r="E28" s="298">
        <f t="shared" si="0"/>
        <v>100</v>
      </c>
      <c r="G28"/>
    </row>
    <row r="29" spans="1:7" s="2" customFormat="1" ht="12.75">
      <c r="A29" s="241">
        <v>415000</v>
      </c>
      <c r="B29" s="180" t="s">
        <v>128</v>
      </c>
      <c r="C29" s="76">
        <f>'B.rash. i izdaci za nef. im.'!C27</f>
        <v>1942254.2899999998</v>
      </c>
      <c r="D29" s="76">
        <f>'B.rash. i izdaci za nef. im.'!D27</f>
        <v>1675725</v>
      </c>
      <c r="E29" s="298">
        <f t="shared" si="0"/>
        <v>86.2773226259678</v>
      </c>
      <c r="G29"/>
    </row>
    <row r="30" spans="1:7" s="2" customFormat="1" ht="12.75">
      <c r="A30" s="241">
        <v>416000</v>
      </c>
      <c r="B30" s="75" t="s">
        <v>564</v>
      </c>
      <c r="C30" s="76">
        <f>'B.rash. i izdaci za nef. im.'!C29</f>
        <v>5001063.23</v>
      </c>
      <c r="D30" s="76">
        <f>'B.rash. i izdaci za nef. im.'!D29</f>
        <v>5060400</v>
      </c>
      <c r="E30" s="298">
        <f t="shared" si="0"/>
        <v>101.1864830991149</v>
      </c>
      <c r="G30"/>
    </row>
    <row r="31" spans="1:7" s="2" customFormat="1" ht="25.5">
      <c r="A31" s="241">
        <v>418000</v>
      </c>
      <c r="B31" s="75" t="s">
        <v>280</v>
      </c>
      <c r="C31" s="76">
        <f>'B.rash. i izdaci za nef. im.'!C32</f>
        <v>89015</v>
      </c>
      <c r="D31" s="76">
        <f>'B.rash. i izdaci za nef. im.'!D32</f>
        <v>142400</v>
      </c>
      <c r="E31" s="298">
        <f t="shared" si="0"/>
        <v>159.97303825198</v>
      </c>
      <c r="G31"/>
    </row>
    <row r="32" spans="1:7" s="2" customFormat="1" ht="14.25" customHeight="1">
      <c r="A32" s="241">
        <v>419000</v>
      </c>
      <c r="B32" s="75" t="s">
        <v>281</v>
      </c>
      <c r="C32" s="76">
        <f>'B.rash. i izdaci za nef. im.'!C36</f>
        <v>186500</v>
      </c>
      <c r="D32" s="76">
        <f>'B.rash. i izdaci za nef. im.'!D36</f>
        <v>162500</v>
      </c>
      <c r="E32" s="298">
        <f t="shared" si="0"/>
        <v>87.1313672922252</v>
      </c>
      <c r="G32"/>
    </row>
    <row r="33" spans="1:7" s="2" customFormat="1" ht="16.5" customHeight="1">
      <c r="A33" s="269">
        <v>480000</v>
      </c>
      <c r="B33" s="240" t="s">
        <v>284</v>
      </c>
      <c r="C33" s="44">
        <f>SUM(C34)</f>
        <v>238640.4</v>
      </c>
      <c r="D33" s="44">
        <f>SUM(D34)</f>
        <v>240000</v>
      </c>
      <c r="E33" s="46">
        <f t="shared" si="0"/>
        <v>100.56972750632332</v>
      </c>
      <c r="G33"/>
    </row>
    <row r="34" spans="1:7" s="2" customFormat="1" ht="16.5" customHeight="1">
      <c r="A34" s="241">
        <v>487000</v>
      </c>
      <c r="B34" s="75" t="s">
        <v>279</v>
      </c>
      <c r="C34" s="76">
        <f>'B.rash. i izdaci za nef. im.'!C38</f>
        <v>238640.4</v>
      </c>
      <c r="D34" s="76">
        <f>'B.rash. i izdaci za nef. im.'!D38</f>
        <v>240000</v>
      </c>
      <c r="E34" s="298">
        <f t="shared" si="0"/>
        <v>100.56972750632332</v>
      </c>
      <c r="G34"/>
    </row>
    <row r="35" spans="1:7" s="2" customFormat="1" ht="15.75" customHeight="1">
      <c r="A35" s="269" t="s">
        <v>181</v>
      </c>
      <c r="B35" s="240" t="s">
        <v>283</v>
      </c>
      <c r="C35" s="44">
        <f>'B.rash. i izdaci za nef. im.'!C43</f>
        <v>30000</v>
      </c>
      <c r="D35" s="44">
        <f>'B.rash. i izdaci za nef. im.'!D43</f>
        <v>204500</v>
      </c>
      <c r="E35" s="46">
        <f t="shared" si="0"/>
        <v>681.6666666666666</v>
      </c>
      <c r="G35"/>
    </row>
    <row r="36" spans="1:7" s="2" customFormat="1" ht="16.5" customHeight="1">
      <c r="A36" s="245"/>
      <c r="B36" s="31" t="s">
        <v>229</v>
      </c>
      <c r="C36" s="32">
        <f>C5-C23</f>
        <v>3157713.4800000004</v>
      </c>
      <c r="D36" s="32">
        <f>D5-D23</f>
        <v>3245845</v>
      </c>
      <c r="E36" s="33">
        <f t="shared" si="0"/>
        <v>102.79099166400619</v>
      </c>
      <c r="G36"/>
    </row>
    <row r="37" spans="1:7" s="2" customFormat="1" ht="16.5" customHeight="1">
      <c r="A37" s="245"/>
      <c r="B37" s="272" t="s">
        <v>230</v>
      </c>
      <c r="C37" s="38">
        <f>C38-C43</f>
        <v>-5278806.390000001</v>
      </c>
      <c r="D37" s="38">
        <f>D38-D43</f>
        <v>-7554300</v>
      </c>
      <c r="E37" s="39" t="s">
        <v>247</v>
      </c>
      <c r="G37"/>
    </row>
    <row r="38" spans="1:5" ht="13.5" customHeight="1">
      <c r="A38" s="269">
        <v>810000</v>
      </c>
      <c r="B38" s="240" t="s">
        <v>210</v>
      </c>
      <c r="C38" s="44">
        <f>SUM(C39:C42)</f>
        <v>737015.23</v>
      </c>
      <c r="D38" s="44">
        <f>SUM(D40:D42)</f>
        <v>345000</v>
      </c>
      <c r="E38" s="46">
        <f aca="true" t="shared" si="1" ref="E38:E46">IF(C38&gt;0,D38/C38*100,0)</f>
        <v>46.81043022679464</v>
      </c>
    </row>
    <row r="39" spans="1:5" ht="13.5" customHeight="1">
      <c r="A39" s="241">
        <v>811200</v>
      </c>
      <c r="B39" s="57" t="s">
        <v>162</v>
      </c>
      <c r="C39" s="76">
        <f>'B.pr. i prim. za nef. im.'!D108</f>
        <v>2120</v>
      </c>
      <c r="D39" s="76">
        <f>'B.pr. i prim. za nef. im.'!E108</f>
        <v>0</v>
      </c>
      <c r="E39" s="298">
        <f t="shared" si="1"/>
        <v>0</v>
      </c>
    </row>
    <row r="40" spans="1:5" ht="14.25" customHeight="1">
      <c r="A40" s="241">
        <v>813000</v>
      </c>
      <c r="B40" s="57" t="s">
        <v>149</v>
      </c>
      <c r="C40" s="76">
        <f>'B.pr. i prim. za nef. im.'!D110</f>
        <v>680000</v>
      </c>
      <c r="D40" s="76">
        <f>'B.pr. i prim. za nef. im.'!E110</f>
        <v>300000</v>
      </c>
      <c r="E40" s="298">
        <f t="shared" si="1"/>
        <v>44.11764705882353</v>
      </c>
    </row>
    <row r="41" spans="1:5" ht="26.25" customHeight="1" hidden="1">
      <c r="A41" s="241">
        <v>814000</v>
      </c>
      <c r="B41" s="373" t="s">
        <v>530</v>
      </c>
      <c r="C41" s="76">
        <f>'B.pr. i prim. za nef. im.'!D112</f>
        <v>0</v>
      </c>
      <c r="D41" s="76">
        <f>'B.pr. i prim. za nef. im.'!E112</f>
        <v>0</v>
      </c>
      <c r="E41" s="298">
        <f t="shared" si="1"/>
        <v>0</v>
      </c>
    </row>
    <row r="42" spans="1:5" ht="15.75" customHeight="1">
      <c r="A42" s="241">
        <v>816000</v>
      </c>
      <c r="B42" s="57" t="s">
        <v>231</v>
      </c>
      <c r="C42" s="76">
        <f>'B.pr. i prim. za nef. im.'!D114</f>
        <v>54895.23</v>
      </c>
      <c r="D42" s="76">
        <f>'B.pr. i prim. za nef. im.'!E114</f>
        <v>45000</v>
      </c>
      <c r="E42" s="298">
        <f t="shared" si="1"/>
        <v>81.97433547504946</v>
      </c>
    </row>
    <row r="43" spans="1:5" ht="16.5" customHeight="1">
      <c r="A43" s="269">
        <v>510000</v>
      </c>
      <c r="B43" s="240" t="s">
        <v>232</v>
      </c>
      <c r="C43" s="44">
        <f>SUM(C44:C46)</f>
        <v>6015821.62</v>
      </c>
      <c r="D43" s="44">
        <f>SUM(D44:D46)</f>
        <v>7899300</v>
      </c>
      <c r="E43" s="46">
        <f t="shared" si="1"/>
        <v>131.30874714998612</v>
      </c>
    </row>
    <row r="44" spans="1:5" ht="12.75">
      <c r="A44" s="241">
        <v>511000</v>
      </c>
      <c r="B44" s="57" t="s">
        <v>130</v>
      </c>
      <c r="C44" s="76">
        <f>'B.rash. i izdaci za nef. im.'!C45</f>
        <v>5479468.14</v>
      </c>
      <c r="D44" s="76">
        <f>'B.rash. i izdaci za nef. im.'!D45</f>
        <v>7208000</v>
      </c>
      <c r="E44" s="298">
        <f t="shared" si="1"/>
        <v>131.5456138412733</v>
      </c>
    </row>
    <row r="45" spans="1:5" ht="12.75">
      <c r="A45" s="273">
        <v>513000</v>
      </c>
      <c r="B45" s="180" t="s">
        <v>156</v>
      </c>
      <c r="C45" s="76">
        <f>'B.rash. i izdaci za nef. im.'!C51</f>
        <v>120653.48</v>
      </c>
      <c r="D45" s="76">
        <f>'B.rash. i izdaci za nef. im.'!D51</f>
        <v>150000</v>
      </c>
      <c r="E45" s="298">
        <f t="shared" si="1"/>
        <v>124.3229785000814</v>
      </c>
    </row>
    <row r="46" spans="1:5" ht="12.75">
      <c r="A46" s="273">
        <v>516000</v>
      </c>
      <c r="B46" s="75" t="s">
        <v>268</v>
      </c>
      <c r="C46" s="76">
        <f>'B.rash. i izdaci za nef. im.'!C54</f>
        <v>415700</v>
      </c>
      <c r="D46" s="76">
        <f>'B.rash. i izdaci za nef. im.'!D54</f>
        <v>541300</v>
      </c>
      <c r="E46" s="298">
        <f t="shared" si="1"/>
        <v>130.21409670435412</v>
      </c>
    </row>
    <row r="47" spans="1:5" ht="18.75" customHeight="1">
      <c r="A47" s="273"/>
      <c r="B47" s="31" t="s">
        <v>233</v>
      </c>
      <c r="C47" s="32">
        <f>C36+C37</f>
        <v>-2121092.91</v>
      </c>
      <c r="D47" s="32">
        <f>D36+D37</f>
        <v>-4308455</v>
      </c>
      <c r="E47" s="33" t="s">
        <v>247</v>
      </c>
    </row>
    <row r="48" spans="1:5" ht="15.75" customHeight="1">
      <c r="A48" s="273"/>
      <c r="B48" s="36" t="s">
        <v>285</v>
      </c>
      <c r="C48" s="38">
        <f>C49+C54+C61+C68</f>
        <v>2121092.91</v>
      </c>
      <c r="D48" s="38">
        <f>D49+D54+D61+D68</f>
        <v>4308455</v>
      </c>
      <c r="E48" s="39" t="s">
        <v>247</v>
      </c>
    </row>
    <row r="49" spans="1:5" ht="17.25" customHeight="1">
      <c r="A49" s="273"/>
      <c r="B49" s="36" t="s">
        <v>234</v>
      </c>
      <c r="C49" s="38">
        <f>C50-C52</f>
        <v>0</v>
      </c>
      <c r="D49" s="38">
        <f>D50-D52</f>
        <v>0</v>
      </c>
      <c r="E49" s="39">
        <f aca="true" t="shared" si="2" ref="E49:E60">IF(C49&gt;0,D49/C49*100,0)</f>
        <v>0</v>
      </c>
    </row>
    <row r="50" spans="1:5" ht="15" customHeight="1">
      <c r="A50" s="269">
        <v>910000</v>
      </c>
      <c r="B50" s="240" t="s">
        <v>235</v>
      </c>
      <c r="C50" s="44">
        <f>SUM(C51)</f>
        <v>0</v>
      </c>
      <c r="D50" s="44">
        <f>SUM(D51)</f>
        <v>0</v>
      </c>
      <c r="E50" s="46">
        <f t="shared" si="2"/>
        <v>0</v>
      </c>
    </row>
    <row r="51" spans="1:5" ht="14.25" customHeight="1">
      <c r="A51" s="241">
        <v>911000</v>
      </c>
      <c r="B51" s="143" t="s">
        <v>236</v>
      </c>
      <c r="C51" s="50">
        <f>Finansiranje!C6</f>
        <v>0</v>
      </c>
      <c r="D51" s="50">
        <f>Finansiranje!D6</f>
        <v>0</v>
      </c>
      <c r="E51" s="64">
        <f t="shared" si="2"/>
        <v>0</v>
      </c>
    </row>
    <row r="52" spans="1:5" ht="14.25" customHeight="1">
      <c r="A52" s="269">
        <v>610000</v>
      </c>
      <c r="B52" s="240" t="s">
        <v>237</v>
      </c>
      <c r="C52" s="44">
        <f>SUM(C53)</f>
        <v>0</v>
      </c>
      <c r="D52" s="44">
        <f>SUM(D53)</f>
        <v>0</v>
      </c>
      <c r="E52" s="46">
        <f t="shared" si="2"/>
        <v>0</v>
      </c>
    </row>
    <row r="53" spans="1:5" ht="14.25" customHeight="1">
      <c r="A53" s="241">
        <v>611000</v>
      </c>
      <c r="B53" s="143" t="s">
        <v>238</v>
      </c>
      <c r="C53" s="50">
        <f>Finansiranje!C8</f>
        <v>0</v>
      </c>
      <c r="D53" s="50">
        <f>Finansiranje!D8</f>
        <v>0</v>
      </c>
      <c r="E53" s="64">
        <f t="shared" si="2"/>
        <v>0</v>
      </c>
    </row>
    <row r="54" spans="1:5" ht="14.25" customHeight="1">
      <c r="A54" s="241"/>
      <c r="B54" s="36" t="s">
        <v>239</v>
      </c>
      <c r="C54" s="38">
        <f>C55-C58</f>
        <v>1578592.37</v>
      </c>
      <c r="D54" s="38">
        <f>D55-D58</f>
        <v>4055000</v>
      </c>
      <c r="E54" s="39">
        <f t="shared" si="2"/>
        <v>256.8744203419658</v>
      </c>
    </row>
    <row r="55" spans="1:5" ht="15" customHeight="1">
      <c r="A55" s="269">
        <v>920000</v>
      </c>
      <c r="B55" s="240" t="s">
        <v>242</v>
      </c>
      <c r="C55" s="44">
        <f>SUM(C56:C57)</f>
        <v>2783592.37</v>
      </c>
      <c r="D55" s="44">
        <f>SUM(D56:D57)</f>
        <v>5500000</v>
      </c>
      <c r="E55" s="46">
        <f t="shared" si="2"/>
        <v>197.58640163250627</v>
      </c>
    </row>
    <row r="56" spans="1:5" ht="14.25" customHeight="1">
      <c r="A56" s="241">
        <v>921000</v>
      </c>
      <c r="B56" s="57" t="s">
        <v>365</v>
      </c>
      <c r="C56" s="76">
        <f>Finansiranje!C12</f>
        <v>2783592.37</v>
      </c>
      <c r="D56" s="76">
        <f>Finansiranje!D12</f>
        <v>5500000</v>
      </c>
      <c r="E56" s="298">
        <f t="shared" si="2"/>
        <v>197.58640163250627</v>
      </c>
    </row>
    <row r="57" spans="1:5" ht="12.75" hidden="1">
      <c r="A57" s="241">
        <v>928000</v>
      </c>
      <c r="B57" s="57" t="s">
        <v>604</v>
      </c>
      <c r="C57" s="76">
        <f>Finansiranje!C14</f>
        <v>0</v>
      </c>
      <c r="D57" s="76">
        <f>Finansiranje!D14</f>
        <v>0</v>
      </c>
      <c r="E57" s="298">
        <f t="shared" si="2"/>
        <v>0</v>
      </c>
    </row>
    <row r="58" spans="1:5" ht="14.25" customHeight="1">
      <c r="A58" s="269">
        <v>620000</v>
      </c>
      <c r="B58" s="240" t="s">
        <v>240</v>
      </c>
      <c r="C58" s="44">
        <f>SUM(C59:C60)</f>
        <v>1205000</v>
      </c>
      <c r="D58" s="44">
        <f>SUM(D59:D60)</f>
        <v>1445000</v>
      </c>
      <c r="E58" s="46">
        <f t="shared" si="2"/>
        <v>119.91701244813278</v>
      </c>
    </row>
    <row r="59" spans="1:5" ht="15.75" customHeight="1">
      <c r="A59" s="241">
        <v>621000</v>
      </c>
      <c r="B59" s="57" t="s">
        <v>366</v>
      </c>
      <c r="C59" s="76">
        <f>Finansiranje!C18</f>
        <v>1025000</v>
      </c>
      <c r="D59" s="76">
        <f>Finansiranje!D18</f>
        <v>1265000</v>
      </c>
      <c r="E59" s="298">
        <f t="shared" si="2"/>
        <v>123.41463414634146</v>
      </c>
    </row>
    <row r="60" spans="1:5" ht="12.75">
      <c r="A60" s="241">
        <v>628000</v>
      </c>
      <c r="B60" s="57" t="s">
        <v>361</v>
      </c>
      <c r="C60" s="76">
        <f>Finansiranje!C21</f>
        <v>180000</v>
      </c>
      <c r="D60" s="76">
        <f>Finansiranje!D21</f>
        <v>180000</v>
      </c>
      <c r="E60" s="298">
        <f t="shared" si="2"/>
        <v>100</v>
      </c>
    </row>
    <row r="61" spans="1:5" ht="14.25" customHeight="1">
      <c r="A61" s="241"/>
      <c r="B61" s="36" t="s">
        <v>286</v>
      </c>
      <c r="C61" s="38">
        <f>C62-C65</f>
        <v>-295123.94000000006</v>
      </c>
      <c r="D61" s="38">
        <f>D62-D65</f>
        <v>-186545</v>
      </c>
      <c r="E61" s="39" t="s">
        <v>247</v>
      </c>
    </row>
    <row r="62" spans="1:5" ht="14.25" customHeight="1">
      <c r="A62" s="269">
        <v>930000</v>
      </c>
      <c r="B62" s="240" t="s">
        <v>287</v>
      </c>
      <c r="C62" s="44">
        <f>SUM(C63:C64)</f>
        <v>348783.15</v>
      </c>
      <c r="D62" s="44">
        <f>SUM(D63:D64)</f>
        <v>360000</v>
      </c>
      <c r="E62" s="46">
        <f aca="true" t="shared" si="3" ref="E62:E68">IF(C62&gt;0,D62/C62*100,0)</f>
        <v>103.21599538280446</v>
      </c>
    </row>
    <row r="63" spans="1:5" ht="14.25" customHeight="1">
      <c r="A63" s="241">
        <v>931000</v>
      </c>
      <c r="B63" s="57" t="s">
        <v>288</v>
      </c>
      <c r="C63" s="50">
        <f>Finansiranje!C25</f>
        <v>35500</v>
      </c>
      <c r="D63" s="50">
        <f>Finansiranje!D25</f>
        <v>44000</v>
      </c>
      <c r="E63" s="298">
        <f t="shared" si="3"/>
        <v>123.94366197183098</v>
      </c>
    </row>
    <row r="64" spans="1:5" ht="12.75">
      <c r="A64" s="241">
        <v>938000</v>
      </c>
      <c r="B64" s="57" t="s">
        <v>331</v>
      </c>
      <c r="C64" s="76">
        <f>Finansiranje!C27</f>
        <v>313283.15</v>
      </c>
      <c r="D64" s="76">
        <f>Finansiranje!D27</f>
        <v>316000</v>
      </c>
      <c r="E64" s="298">
        <f t="shared" si="3"/>
        <v>100.86721868060889</v>
      </c>
    </row>
    <row r="65" spans="1:5" ht="14.25" customHeight="1">
      <c r="A65" s="269">
        <v>630000</v>
      </c>
      <c r="B65" s="240" t="s">
        <v>289</v>
      </c>
      <c r="C65" s="44">
        <f>SUM(C66:C67)</f>
        <v>643907.0900000001</v>
      </c>
      <c r="D65" s="44">
        <f>SUM(D66:D67)</f>
        <v>546545</v>
      </c>
      <c r="E65" s="46">
        <f t="shared" si="3"/>
        <v>84.8794816034717</v>
      </c>
    </row>
    <row r="66" spans="1:5" ht="14.25" customHeight="1">
      <c r="A66" s="241">
        <v>631000</v>
      </c>
      <c r="B66" s="57" t="s">
        <v>290</v>
      </c>
      <c r="C66" s="76">
        <f>Finansiranje!C31</f>
        <v>293100</v>
      </c>
      <c r="D66" s="76">
        <f>Finansiranje!D31</f>
        <v>126000</v>
      </c>
      <c r="E66" s="298">
        <f t="shared" si="3"/>
        <v>42.988741044012286</v>
      </c>
    </row>
    <row r="67" spans="1:5" ht="14.25" customHeight="1">
      <c r="A67" s="241">
        <v>638000</v>
      </c>
      <c r="B67" s="57" t="s">
        <v>295</v>
      </c>
      <c r="C67" s="76">
        <f>Finansiranje!C35</f>
        <v>350807.09</v>
      </c>
      <c r="D67" s="76">
        <f>Finansiranje!D35</f>
        <v>420545</v>
      </c>
      <c r="E67" s="298">
        <f t="shared" si="3"/>
        <v>119.8792761001495</v>
      </c>
    </row>
    <row r="68" spans="1:5" ht="18.75" customHeight="1">
      <c r="A68" s="241"/>
      <c r="B68" s="79" t="s">
        <v>383</v>
      </c>
      <c r="C68" s="38">
        <f>Finansiranje!C38</f>
        <v>837624.48</v>
      </c>
      <c r="D68" s="38">
        <f>Finansiranje!D38</f>
        <v>440000</v>
      </c>
      <c r="E68" s="39">
        <f t="shared" si="3"/>
        <v>52.52950582342102</v>
      </c>
    </row>
    <row r="69" spans="1:5" ht="20.25" customHeight="1" thickBot="1">
      <c r="A69" s="266"/>
      <c r="B69" s="83" t="s">
        <v>291</v>
      </c>
      <c r="C69" s="84">
        <f>C47+C48</f>
        <v>0</v>
      </c>
      <c r="D69" s="84">
        <f>D47+D48</f>
        <v>0</v>
      </c>
      <c r="E69" s="86" t="s">
        <v>247</v>
      </c>
    </row>
    <row r="70" spans="1:5" ht="20.25" customHeight="1" thickTop="1">
      <c r="A70" s="96"/>
      <c r="B70" s="97"/>
      <c r="C70" s="98"/>
      <c r="D70" s="98"/>
      <c r="E70" s="99"/>
    </row>
    <row r="71" spans="1:5" ht="17.25" customHeight="1">
      <c r="A71" s="15"/>
      <c r="B71" s="13"/>
      <c r="C71" s="16"/>
      <c r="D71" s="16"/>
      <c r="E71" s="16"/>
    </row>
    <row r="72" spans="1:5" ht="20.25" customHeight="1" hidden="1">
      <c r="A72" s="3"/>
      <c r="B72" s="365" t="s">
        <v>537</v>
      </c>
      <c r="C72" s="365">
        <f>C7+C8+C9+C10+C11+C12+C14+C15+C16+C17+C18+C20+C22+C40+C41+C42+C51+C56+C63+C64+C68</f>
        <v>31397880</v>
      </c>
      <c r="D72" s="365"/>
      <c r="E72" s="13"/>
    </row>
    <row r="73" spans="1:5" ht="32.25" customHeight="1" hidden="1">
      <c r="A73" s="3"/>
      <c r="B73" s="365" t="s">
        <v>538</v>
      </c>
      <c r="C73" s="365">
        <f>C25+C26+C27+C28+C29+C30+C31+C32+C34+C35+C44+C45+C46+C53+C59+C60+C66+C67</f>
        <v>31400000</v>
      </c>
      <c r="D73" s="365"/>
      <c r="E73" s="13"/>
    </row>
    <row r="74" spans="1:7" ht="16.5" customHeight="1">
      <c r="A74" s="3"/>
      <c r="B74" s="22"/>
      <c r="C74" s="13"/>
      <c r="D74" s="13"/>
      <c r="E74" s="13"/>
      <c r="G74" s="1"/>
    </row>
    <row r="75" spans="1:5" ht="0.75" customHeight="1">
      <c r="A75" s="4"/>
      <c r="B75" s="371"/>
      <c r="C75" s="371">
        <f>C72-C73</f>
        <v>-2120</v>
      </c>
      <c r="D75" s="371"/>
      <c r="E75" s="16"/>
    </row>
    <row r="76" spans="1:2" ht="15.75" customHeight="1">
      <c r="A76" s="16"/>
      <c r="B76" s="16"/>
    </row>
    <row r="77" spans="1:4" ht="12.75">
      <c r="A77" s="16"/>
      <c r="B77" s="16"/>
      <c r="C77" s="16"/>
      <c r="D77" s="16"/>
    </row>
    <row r="78" spans="1:5" ht="17.25" customHeight="1">
      <c r="A78" s="16"/>
      <c r="B78" s="16"/>
      <c r="C78" s="16"/>
      <c r="D78" s="16"/>
      <c r="E78" s="16"/>
    </row>
    <row r="79" spans="1:5" ht="12.75">
      <c r="A79" s="16"/>
      <c r="B79" s="16"/>
      <c r="C79" s="16"/>
      <c r="D79" s="16"/>
      <c r="E79" s="16"/>
    </row>
    <row r="80" spans="1:5" ht="12.75">
      <c r="A80" s="16"/>
      <c r="B80" s="16"/>
      <c r="C80" s="17"/>
      <c r="D80" s="17"/>
      <c r="E80" s="17"/>
    </row>
    <row r="81" spans="1:2" ht="12.75">
      <c r="A81" s="16"/>
      <c r="B81" s="16"/>
    </row>
    <row r="82" spans="1:2" ht="14.25" customHeight="1">
      <c r="A82" s="16"/>
      <c r="B82" s="16"/>
    </row>
    <row r="83" spans="1:2" ht="16.5" customHeight="1">
      <c r="A83" s="16"/>
      <c r="B83" s="16"/>
    </row>
    <row r="84" spans="1:2" ht="12.75">
      <c r="A84" s="16"/>
      <c r="B84" s="16"/>
    </row>
    <row r="85" spans="1:2" ht="12.75">
      <c r="A85" s="16"/>
      <c r="B85" s="16"/>
    </row>
    <row r="86" spans="1:2" ht="15" customHeight="1">
      <c r="A86" s="16"/>
      <c r="B86" s="16"/>
    </row>
    <row r="87" spans="1:2" ht="12.75">
      <c r="A87" s="16"/>
      <c r="B87" s="16"/>
    </row>
    <row r="88" spans="1:2" ht="26.25" customHeight="1">
      <c r="A88" s="16"/>
      <c r="B88" s="16"/>
    </row>
    <row r="89" spans="1:2" ht="12.75">
      <c r="A89" s="16"/>
      <c r="B89" s="16"/>
    </row>
    <row r="90" spans="1:2" ht="12.75">
      <c r="A90" s="16"/>
      <c r="B90" s="16"/>
    </row>
    <row r="91" spans="1:2" ht="12.75">
      <c r="A91" s="16"/>
      <c r="B91" s="16"/>
    </row>
    <row r="92" spans="1:2" ht="12.75">
      <c r="A92" s="16"/>
      <c r="B92" s="16"/>
    </row>
    <row r="93" spans="1:2" ht="12.75">
      <c r="A93" s="16"/>
      <c r="B93" s="16"/>
    </row>
    <row r="94" spans="1:2" ht="12.75">
      <c r="A94" s="16"/>
      <c r="B94" s="16"/>
    </row>
    <row r="95" spans="1:2" ht="15.75" customHeight="1">
      <c r="A95" s="16"/>
      <c r="B95" s="16"/>
    </row>
    <row r="96" spans="1:6" ht="12.75">
      <c r="A96" s="16"/>
      <c r="B96" s="16"/>
      <c r="F96" s="2"/>
    </row>
    <row r="97" spans="1:2" ht="12.75">
      <c r="A97" s="16"/>
      <c r="B97" s="16"/>
    </row>
    <row r="98" spans="1:2" ht="12.75">
      <c r="A98" s="16"/>
      <c r="B98" s="16"/>
    </row>
    <row r="99" spans="1:2" ht="12.75" customHeight="1">
      <c r="A99" s="16"/>
      <c r="B99" s="16"/>
    </row>
    <row r="100" spans="1:2" ht="12.75">
      <c r="A100" s="16"/>
      <c r="B100" s="16"/>
    </row>
    <row r="101" spans="1:2" ht="12.75">
      <c r="A101" s="16"/>
      <c r="B101" s="16"/>
    </row>
    <row r="102" spans="1:2" ht="12.75">
      <c r="A102" s="16"/>
      <c r="B102" s="16"/>
    </row>
    <row r="103" spans="1:2" ht="12.75">
      <c r="A103" s="16"/>
      <c r="B103" s="16"/>
    </row>
    <row r="104" spans="1:2" ht="12.75">
      <c r="A104" s="16"/>
      <c r="B104" s="16"/>
    </row>
    <row r="105" spans="1:2" ht="12.75">
      <c r="A105" s="16"/>
      <c r="B105" s="16"/>
    </row>
    <row r="106" spans="1:2" ht="12.75">
      <c r="A106" s="16"/>
      <c r="B106" s="16"/>
    </row>
    <row r="107" spans="1:2" ht="12.75">
      <c r="A107" s="16"/>
      <c r="B107" s="16"/>
    </row>
    <row r="108" spans="1:2" ht="12.75">
      <c r="A108" s="16"/>
      <c r="B108" s="16"/>
    </row>
    <row r="109" spans="1:2" ht="12.75">
      <c r="A109" s="16"/>
      <c r="B109" s="16"/>
    </row>
    <row r="110" spans="1:2" ht="12.75">
      <c r="A110" s="16"/>
      <c r="B110" s="16"/>
    </row>
    <row r="111" spans="1:2" ht="12.75">
      <c r="A111" s="16"/>
      <c r="B111" s="16"/>
    </row>
    <row r="112" spans="1:6" s="14" customFormat="1" ht="12.75">
      <c r="A112" s="16"/>
      <c r="B112" s="16"/>
      <c r="F112"/>
    </row>
    <row r="113" spans="1:6" s="14" customFormat="1" ht="12.75">
      <c r="A113" s="16"/>
      <c r="B113" s="16"/>
      <c r="F113"/>
    </row>
    <row r="114" spans="1:6" s="14" customFormat="1" ht="12.75">
      <c r="A114" s="16"/>
      <c r="B114" s="16"/>
      <c r="F114"/>
    </row>
    <row r="115" spans="1:6" s="14" customFormat="1" ht="12.75">
      <c r="A115" s="16"/>
      <c r="B115" s="16"/>
      <c r="F115"/>
    </row>
    <row r="116" spans="1:6" s="14" customFormat="1" ht="12.75">
      <c r="A116" s="16"/>
      <c r="B116" s="16"/>
      <c r="F116"/>
    </row>
    <row r="117" spans="1:6" s="14" customFormat="1" ht="12.75">
      <c r="A117" s="16"/>
      <c r="B117" s="16"/>
      <c r="F117"/>
    </row>
    <row r="118" spans="1:6" s="14" customFormat="1" ht="12.75">
      <c r="A118" s="16"/>
      <c r="B118" s="16"/>
      <c r="F118"/>
    </row>
    <row r="119" spans="1:6" s="14" customFormat="1" ht="12.75">
      <c r="A119" s="16"/>
      <c r="B119" s="16"/>
      <c r="F119"/>
    </row>
    <row r="120" spans="1:6" s="14" customFormat="1" ht="12.75">
      <c r="A120" s="16"/>
      <c r="B120" s="16"/>
      <c r="F120"/>
    </row>
    <row r="121" spans="1:6" s="14" customFormat="1" ht="12.75">
      <c r="A121" s="16"/>
      <c r="B121" s="16"/>
      <c r="F121"/>
    </row>
    <row r="122" spans="1:6" s="14" customFormat="1" ht="12.75">
      <c r="A122" s="16"/>
      <c r="B122" s="16"/>
      <c r="F122"/>
    </row>
    <row r="123" spans="1:6" s="14" customFormat="1" ht="12.75">
      <c r="A123" s="16"/>
      <c r="B123" s="16"/>
      <c r="F123"/>
    </row>
    <row r="124" spans="1:6" s="14" customFormat="1" ht="12.75">
      <c r="A124" s="16"/>
      <c r="B124" s="16"/>
      <c r="F124"/>
    </row>
    <row r="125" spans="1:6" s="14" customFormat="1" ht="12.75">
      <c r="A125" s="16"/>
      <c r="B125" s="16"/>
      <c r="F125"/>
    </row>
    <row r="126" spans="1:6" s="14" customFormat="1" ht="12.75">
      <c r="A126" s="16"/>
      <c r="B126" s="16"/>
      <c r="F126"/>
    </row>
    <row r="127" spans="1:6" s="14" customFormat="1" ht="12.75">
      <c r="A127" s="16"/>
      <c r="B127" s="16"/>
      <c r="F127"/>
    </row>
    <row r="128" spans="1:6" s="14" customFormat="1" ht="12.75">
      <c r="A128" s="16"/>
      <c r="B128" s="16"/>
      <c r="F128"/>
    </row>
    <row r="129" spans="1:6" s="14" customFormat="1" ht="12.75">
      <c r="A129" s="16"/>
      <c r="B129" s="16"/>
      <c r="F129"/>
    </row>
    <row r="130" spans="1:6" s="14" customFormat="1" ht="12.75">
      <c r="A130" s="16"/>
      <c r="B130" s="16"/>
      <c r="F130"/>
    </row>
    <row r="131" spans="1:6" s="14" customFormat="1" ht="12.75">
      <c r="A131" s="16"/>
      <c r="B131" s="16"/>
      <c r="F131"/>
    </row>
    <row r="132" spans="1:6" s="14" customFormat="1" ht="12.75">
      <c r="A132" s="16"/>
      <c r="B132" s="16"/>
      <c r="F132"/>
    </row>
    <row r="133" spans="1:6" s="14" customFormat="1" ht="12.75">
      <c r="A133" s="16"/>
      <c r="B133" s="16"/>
      <c r="F133"/>
    </row>
    <row r="134" spans="1:6" s="14" customFormat="1" ht="12.75">
      <c r="A134" s="16"/>
      <c r="B134" s="16"/>
      <c r="F134"/>
    </row>
    <row r="135" spans="1:6" s="14" customFormat="1" ht="12.75">
      <c r="A135" s="16"/>
      <c r="B135" s="16"/>
      <c r="F135"/>
    </row>
    <row r="136" spans="1:6" s="14" customFormat="1" ht="12.75">
      <c r="A136" s="16"/>
      <c r="B136" s="16"/>
      <c r="F136"/>
    </row>
    <row r="137" spans="1:6" s="14" customFormat="1" ht="12.75">
      <c r="A137" s="16"/>
      <c r="B137" s="16"/>
      <c r="F137"/>
    </row>
    <row r="138" spans="1:6" s="14" customFormat="1" ht="12.75">
      <c r="A138" s="16"/>
      <c r="B138" s="16"/>
      <c r="F138"/>
    </row>
    <row r="139" spans="1:6" s="14" customFormat="1" ht="12.75">
      <c r="A139" s="16"/>
      <c r="B139" s="16"/>
      <c r="F139"/>
    </row>
    <row r="140" spans="1:6" s="14" customFormat="1" ht="12.75">
      <c r="A140" s="16"/>
      <c r="B140" s="16"/>
      <c r="F140"/>
    </row>
    <row r="141" spans="1:6" s="14" customFormat="1" ht="12.75">
      <c r="A141" s="16"/>
      <c r="B141" s="16"/>
      <c r="F141"/>
    </row>
    <row r="142" spans="1:6" s="14" customFormat="1" ht="12.75">
      <c r="A142" s="16"/>
      <c r="B142" s="16"/>
      <c r="F142"/>
    </row>
    <row r="143" spans="1:6" s="14" customFormat="1" ht="12.75">
      <c r="A143" s="16"/>
      <c r="B143" s="16"/>
      <c r="F143"/>
    </row>
    <row r="144" spans="1:5" ht="12.75">
      <c r="A144" s="16"/>
      <c r="B144" s="3"/>
      <c r="C144" s="16"/>
      <c r="D144" s="16"/>
      <c r="E144" s="16"/>
    </row>
    <row r="145" spans="1:5" ht="12.75">
      <c r="A145" s="4"/>
      <c r="B145" s="3"/>
      <c r="C145" s="16"/>
      <c r="D145" s="16"/>
      <c r="E145" s="16"/>
    </row>
    <row r="146" spans="1:5" ht="12.75">
      <c r="A146" s="4"/>
      <c r="B146" s="3"/>
      <c r="C146" s="16"/>
      <c r="D146" s="16"/>
      <c r="E146" s="16"/>
    </row>
    <row r="147" spans="1:5" ht="12.75">
      <c r="A147" s="4"/>
      <c r="B147" s="3"/>
      <c r="C147" s="16"/>
      <c r="D147" s="16"/>
      <c r="E147" s="16"/>
    </row>
    <row r="148" spans="1:5" ht="12.75">
      <c r="A148" s="4"/>
      <c r="B148" s="3"/>
      <c r="C148" s="16"/>
      <c r="D148" s="16"/>
      <c r="E148" s="16"/>
    </row>
    <row r="149" spans="1:5" ht="12.75">
      <c r="A149" s="4"/>
      <c r="B149" s="3"/>
      <c r="C149" s="16"/>
      <c r="D149" s="16"/>
      <c r="E149" s="16"/>
    </row>
    <row r="150" spans="1:5" ht="12.75">
      <c r="A150" s="4"/>
      <c r="B150" s="3"/>
      <c r="C150" s="16"/>
      <c r="D150" s="16"/>
      <c r="E150" s="16"/>
    </row>
    <row r="151" spans="1:5" ht="12.75">
      <c r="A151" s="4"/>
      <c r="B151" s="3"/>
      <c r="C151" s="16"/>
      <c r="D151" s="16"/>
      <c r="E151" s="16"/>
    </row>
    <row r="152" spans="1:5" ht="12.75">
      <c r="A152" s="4"/>
      <c r="B152" s="3"/>
      <c r="C152" s="16"/>
      <c r="D152" s="16"/>
      <c r="E152" s="16"/>
    </row>
    <row r="153" spans="1:5" ht="12.75">
      <c r="A153" s="4"/>
      <c r="B153" s="3"/>
      <c r="C153" s="16"/>
      <c r="D153" s="16"/>
      <c r="E153" s="16"/>
    </row>
    <row r="154" spans="1:5" ht="12.75">
      <c r="A154" s="4"/>
      <c r="B154" s="3"/>
      <c r="C154" s="16"/>
      <c r="D154" s="16"/>
      <c r="E154" s="16"/>
    </row>
    <row r="155" spans="1:5" ht="12.75">
      <c r="A155" s="4"/>
      <c r="B155" s="3"/>
      <c r="C155" s="16"/>
      <c r="D155" s="16"/>
      <c r="E155" s="16"/>
    </row>
    <row r="156" spans="1:6" s="14" customFormat="1" ht="12.75">
      <c r="A156" s="4"/>
      <c r="B156" s="3"/>
      <c r="C156" s="16"/>
      <c r="D156" s="16"/>
      <c r="E156" s="16"/>
      <c r="F156"/>
    </row>
    <row r="157" spans="1:6" s="14" customFormat="1" ht="12.75">
      <c r="A157" s="4"/>
      <c r="B157" s="3"/>
      <c r="C157" s="16"/>
      <c r="D157" s="16"/>
      <c r="E157" s="16"/>
      <c r="F157"/>
    </row>
    <row r="158" spans="1:6" s="14" customFormat="1" ht="12.75">
      <c r="A158" s="4"/>
      <c r="B158" s="3"/>
      <c r="C158" s="16"/>
      <c r="D158" s="16"/>
      <c r="E158" s="16"/>
      <c r="F158"/>
    </row>
    <row r="159" spans="1:6" s="14" customFormat="1" ht="12.75">
      <c r="A159" s="4"/>
      <c r="B159" s="3"/>
      <c r="C159" s="16"/>
      <c r="D159" s="16"/>
      <c r="E159" s="16"/>
      <c r="F159"/>
    </row>
    <row r="160" spans="1:6" s="14" customFormat="1" ht="12.75">
      <c r="A160" s="4"/>
      <c r="B160" s="3"/>
      <c r="C160" s="16"/>
      <c r="D160" s="16"/>
      <c r="E160" s="16"/>
      <c r="F160"/>
    </row>
    <row r="161" spans="1:6" s="14" customFormat="1" ht="12.75">
      <c r="A161" s="4"/>
      <c r="B161" s="3"/>
      <c r="C161" s="16"/>
      <c r="D161" s="16"/>
      <c r="E161" s="16"/>
      <c r="F161"/>
    </row>
    <row r="162" spans="1:6" s="14" customFormat="1" ht="12.75">
      <c r="A162" s="4"/>
      <c r="B162" s="3"/>
      <c r="C162" s="16"/>
      <c r="D162" s="16"/>
      <c r="E162" s="16"/>
      <c r="F162"/>
    </row>
    <row r="163" spans="1:6" s="14" customFormat="1" ht="12.75">
      <c r="A163" s="4"/>
      <c r="B163" s="3"/>
      <c r="C163" s="16"/>
      <c r="D163" s="16"/>
      <c r="E163" s="16"/>
      <c r="F163"/>
    </row>
    <row r="164" spans="1:6" s="14" customFormat="1" ht="12.75">
      <c r="A164" s="4"/>
      <c r="B164" s="3"/>
      <c r="C164" s="16"/>
      <c r="D164" s="16"/>
      <c r="E164" s="16"/>
      <c r="F164"/>
    </row>
    <row r="165" spans="1:6" s="14" customFormat="1" ht="12.75">
      <c r="A165" s="4"/>
      <c r="B165" s="3"/>
      <c r="C165" s="16"/>
      <c r="D165" s="16"/>
      <c r="E165" s="16"/>
      <c r="F165"/>
    </row>
    <row r="166" spans="1:6" s="14" customFormat="1" ht="12.75">
      <c r="A166" s="4"/>
      <c r="B166" s="3"/>
      <c r="C166" s="16"/>
      <c r="D166" s="16"/>
      <c r="E166" s="16"/>
      <c r="F166"/>
    </row>
    <row r="167" spans="1:6" s="14" customFormat="1" ht="12.75">
      <c r="A167" s="4"/>
      <c r="B167" s="3"/>
      <c r="C167" s="16"/>
      <c r="D167" s="16"/>
      <c r="E167" s="16"/>
      <c r="F167"/>
    </row>
    <row r="168" spans="1:6" s="14" customFormat="1" ht="12.75">
      <c r="A168" s="4"/>
      <c r="B168" s="3"/>
      <c r="C168" s="16"/>
      <c r="D168" s="16"/>
      <c r="E168" s="16"/>
      <c r="F168"/>
    </row>
    <row r="169" spans="1:6" s="14" customFormat="1" ht="12.75">
      <c r="A169" s="4"/>
      <c r="B169" s="3"/>
      <c r="C169" s="16"/>
      <c r="D169" s="16"/>
      <c r="E169" s="16"/>
      <c r="F169"/>
    </row>
    <row r="170" spans="1:6" s="14" customFormat="1" ht="12.75">
      <c r="A170" s="4"/>
      <c r="B170"/>
      <c r="C170" s="16"/>
      <c r="D170" s="16"/>
      <c r="E170" s="16"/>
      <c r="F170"/>
    </row>
  </sheetData>
  <sheetProtection/>
  <mergeCells count="6">
    <mergeCell ref="A1:E1"/>
    <mergeCell ref="A2:A3"/>
    <mergeCell ref="B2:B3"/>
    <mergeCell ref="E2:E3"/>
    <mergeCell ref="C2:C3"/>
    <mergeCell ref="D2:D3"/>
  </mergeCells>
  <printOptions horizontalCentered="1"/>
  <pageMargins left="0.2755905511811024" right="0.15748031496062992" top="0.35433070866141736" bottom="0.3937007874015748" header="0.2755905511811024" footer="0.15748031496062992"/>
  <pageSetup horizontalDpi="600" verticalDpi="600" orientation="landscape" paperSize="9" scale="110" r:id="rId1"/>
  <headerFooter alignWithMargins="0">
    <oddFooter>&amp;R&amp;P</oddFooter>
  </headerFooter>
  <rowBreaks count="3" manualBreakCount="3">
    <brk id="30" max="4" man="1"/>
    <brk id="57" max="4" man="1"/>
    <brk id="75" max="4" man="1"/>
  </rowBreaks>
  <colBreaks count="1" manualBreakCount="1">
    <brk id="5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68"/>
  <sheetViews>
    <sheetView zoomScaleSheetLayoutView="100" zoomScalePageLayoutView="0" workbookViewId="0" topLeftCell="A1">
      <pane ySplit="3" topLeftCell="A4" activePane="bottomLeft" state="frozen"/>
      <selection pane="topLeft" activeCell="B41" sqref="B41"/>
      <selection pane="bottomLeft" activeCell="C110" sqref="C110"/>
    </sheetView>
  </sheetViews>
  <sheetFormatPr defaultColWidth="9.140625" defaultRowHeight="12.75"/>
  <cols>
    <col min="1" max="1" width="13.8515625" style="0" customWidth="1"/>
    <col min="2" max="2" width="8.140625" style="0" customWidth="1"/>
    <col min="3" max="3" width="57.7109375" style="0" customWidth="1"/>
    <col min="4" max="5" width="16.421875" style="14" customWidth="1"/>
    <col min="6" max="6" width="10.7109375" style="14" customWidth="1"/>
    <col min="7" max="7" width="10.00390625" style="14" customWidth="1"/>
  </cols>
  <sheetData>
    <row r="1" spans="1:7" ht="39.75" customHeight="1" thickBot="1">
      <c r="A1" s="453" t="s">
        <v>563</v>
      </c>
      <c r="B1" s="453"/>
      <c r="C1" s="453"/>
      <c r="D1" s="453"/>
      <c r="E1" s="453"/>
      <c r="F1" s="453"/>
      <c r="G1" s="453"/>
    </row>
    <row r="2" spans="1:7" ht="18.75" customHeight="1" thickTop="1">
      <c r="A2" s="464" t="s">
        <v>54</v>
      </c>
      <c r="B2" s="466" t="s">
        <v>226</v>
      </c>
      <c r="C2" s="466" t="s">
        <v>191</v>
      </c>
      <c r="D2" s="462" t="s">
        <v>633</v>
      </c>
      <c r="E2" s="462" t="s">
        <v>628</v>
      </c>
      <c r="F2" s="468" t="s">
        <v>105</v>
      </c>
      <c r="G2" s="470" t="s">
        <v>109</v>
      </c>
    </row>
    <row r="3" spans="1:7" ht="29.25" customHeight="1">
      <c r="A3" s="465"/>
      <c r="B3" s="467"/>
      <c r="C3" s="467"/>
      <c r="D3" s="463"/>
      <c r="E3" s="463"/>
      <c r="F3" s="469"/>
      <c r="G3" s="471"/>
    </row>
    <row r="4" spans="1:7" s="5" customFormat="1" ht="12.75" customHeight="1">
      <c r="A4" s="87">
        <v>1</v>
      </c>
      <c r="B4" s="88">
        <v>2</v>
      </c>
      <c r="C4" s="88">
        <v>3</v>
      </c>
      <c r="D4" s="88">
        <v>4</v>
      </c>
      <c r="E4" s="88">
        <v>5</v>
      </c>
      <c r="F4" s="88" t="s">
        <v>543</v>
      </c>
      <c r="G4" s="89">
        <v>7</v>
      </c>
    </row>
    <row r="5" spans="1:7" ht="19.5" customHeight="1">
      <c r="A5" s="29"/>
      <c r="B5" s="30"/>
      <c r="C5" s="31" t="s">
        <v>227</v>
      </c>
      <c r="D5" s="32">
        <f>D6+D22+D83+D92</f>
        <v>26692984.77</v>
      </c>
      <c r="E5" s="32">
        <f>E6+E22+E83+E92</f>
        <v>27055000</v>
      </c>
      <c r="F5" s="32">
        <f>IF(D5&gt;0,E5/D5*100,0)</f>
        <v>101.35621862118194</v>
      </c>
      <c r="G5" s="33">
        <f aca="true" t="shared" si="0" ref="G5:G36">E5/$E$116*100</f>
        <v>98.74087591240875</v>
      </c>
    </row>
    <row r="6" spans="1:7" ht="15" customHeight="1">
      <c r="A6" s="34">
        <v>710000</v>
      </c>
      <c r="B6" s="35"/>
      <c r="C6" s="36" t="s">
        <v>200</v>
      </c>
      <c r="D6" s="37">
        <f>D7+D9+D12+D14+D18+D20</f>
        <v>14777000</v>
      </c>
      <c r="E6" s="37">
        <f>E7+E9+E12+E14+E18+E20</f>
        <v>15626000</v>
      </c>
      <c r="F6" s="38">
        <f aca="true" t="shared" si="1" ref="F6:F67">IF(D6&gt;0,E6/D6*100,0)</f>
        <v>105.74541517222711</v>
      </c>
      <c r="G6" s="145">
        <f t="shared" si="0"/>
        <v>57.02919708029197</v>
      </c>
    </row>
    <row r="7" spans="1:7" ht="18.75" customHeight="1" hidden="1">
      <c r="A7" s="40">
        <v>711100</v>
      </c>
      <c r="B7" s="41"/>
      <c r="C7" s="42" t="s">
        <v>175</v>
      </c>
      <c r="D7" s="43">
        <f>SUM(D8)</f>
        <v>0</v>
      </c>
      <c r="E7" s="43">
        <f>SUM(E8)</f>
        <v>0</v>
      </c>
      <c r="F7" s="44">
        <f t="shared" si="1"/>
        <v>0</v>
      </c>
      <c r="G7" s="46">
        <f t="shared" si="0"/>
        <v>0</v>
      </c>
    </row>
    <row r="8" spans="1:7" ht="12" customHeight="1" hidden="1">
      <c r="A8" s="47">
        <v>711113</v>
      </c>
      <c r="B8" s="48"/>
      <c r="C8" s="49" t="s">
        <v>201</v>
      </c>
      <c r="D8" s="50">
        <v>0</v>
      </c>
      <c r="E8" s="50"/>
      <c r="F8" s="63">
        <f t="shared" si="1"/>
        <v>0</v>
      </c>
      <c r="G8" s="64">
        <f t="shared" si="0"/>
        <v>0</v>
      </c>
    </row>
    <row r="9" spans="1:7" ht="15" customHeight="1">
      <c r="A9" s="34">
        <v>713000</v>
      </c>
      <c r="B9" s="35"/>
      <c r="C9" s="53" t="s">
        <v>4</v>
      </c>
      <c r="D9" s="43">
        <f>SUM(D10:D11)</f>
        <v>1550000</v>
      </c>
      <c r="E9" s="43">
        <f>SUM(E10:E11)</f>
        <v>1660000</v>
      </c>
      <c r="F9" s="44">
        <f t="shared" si="1"/>
        <v>107.0967741935484</v>
      </c>
      <c r="G9" s="46">
        <f t="shared" si="0"/>
        <v>6.0583941605839415</v>
      </c>
    </row>
    <row r="10" spans="1:7" ht="14.25" customHeight="1">
      <c r="A10" s="47" t="s">
        <v>5</v>
      </c>
      <c r="B10" s="48"/>
      <c r="C10" s="54" t="s">
        <v>202</v>
      </c>
      <c r="D10" s="50">
        <v>360000</v>
      </c>
      <c r="E10" s="422">
        <v>360000</v>
      </c>
      <c r="F10" s="100">
        <f t="shared" si="1"/>
        <v>100</v>
      </c>
      <c r="G10" s="298">
        <f t="shared" si="0"/>
        <v>1.313868613138686</v>
      </c>
    </row>
    <row r="11" spans="1:7" ht="14.25" customHeight="1">
      <c r="A11" s="47" t="s">
        <v>6</v>
      </c>
      <c r="B11" s="48"/>
      <c r="C11" s="55" t="s">
        <v>7</v>
      </c>
      <c r="D11" s="50">
        <v>1190000</v>
      </c>
      <c r="E11" s="50">
        <v>1300000</v>
      </c>
      <c r="F11" s="100">
        <f t="shared" si="1"/>
        <v>109.24369747899159</v>
      </c>
      <c r="G11" s="298">
        <f t="shared" si="0"/>
        <v>4.744525547445255</v>
      </c>
    </row>
    <row r="12" spans="1:7" ht="15" customHeight="1">
      <c r="A12" s="34">
        <v>714000</v>
      </c>
      <c r="B12" s="35"/>
      <c r="C12" s="53" t="s">
        <v>8</v>
      </c>
      <c r="D12" s="43">
        <f>SUM(D13:D13)</f>
        <v>265000</v>
      </c>
      <c r="E12" s="43">
        <f>SUM(E13:E13)</f>
        <v>265000</v>
      </c>
      <c r="F12" s="44">
        <f t="shared" si="1"/>
        <v>100</v>
      </c>
      <c r="G12" s="46">
        <f t="shared" si="0"/>
        <v>0.9671532846715328</v>
      </c>
    </row>
    <row r="13" spans="1:7" ht="14.25" customHeight="1">
      <c r="A13" s="56" t="s">
        <v>344</v>
      </c>
      <c r="B13" s="35"/>
      <c r="C13" s="57" t="s">
        <v>311</v>
      </c>
      <c r="D13" s="50">
        <v>265000</v>
      </c>
      <c r="E13" s="50">
        <v>265000</v>
      </c>
      <c r="F13" s="100">
        <f t="shared" si="1"/>
        <v>100</v>
      </c>
      <c r="G13" s="298">
        <f t="shared" si="0"/>
        <v>0.9671532846715328</v>
      </c>
    </row>
    <row r="14" spans="1:7" ht="14.25" customHeight="1">
      <c r="A14" s="34">
        <v>715000</v>
      </c>
      <c r="B14" s="35"/>
      <c r="C14" s="53" t="s">
        <v>143</v>
      </c>
      <c r="D14" s="43">
        <f>SUM(D15:D17)</f>
        <v>2000</v>
      </c>
      <c r="E14" s="43">
        <f>SUM(E15:E17)</f>
        <v>1000</v>
      </c>
      <c r="F14" s="44">
        <f t="shared" si="1"/>
        <v>50</v>
      </c>
      <c r="G14" s="46">
        <f t="shared" si="0"/>
        <v>0.0036496350364963507</v>
      </c>
    </row>
    <row r="15" spans="1:7" ht="14.25" customHeight="1">
      <c r="A15" s="58">
        <v>715110</v>
      </c>
      <c r="B15" s="59"/>
      <c r="C15" s="54" t="s">
        <v>387</v>
      </c>
      <c r="D15" s="50">
        <v>2000</v>
      </c>
      <c r="E15" s="50">
        <v>1000</v>
      </c>
      <c r="F15" s="100">
        <f t="shared" si="1"/>
        <v>50</v>
      </c>
      <c r="G15" s="298">
        <f t="shared" si="0"/>
        <v>0.0036496350364963507</v>
      </c>
    </row>
    <row r="16" spans="1:7" ht="14.25" customHeight="1" hidden="1">
      <c r="A16" s="47">
        <v>715210</v>
      </c>
      <c r="B16" s="48"/>
      <c r="C16" s="55" t="s">
        <v>388</v>
      </c>
      <c r="D16" s="50">
        <v>0</v>
      </c>
      <c r="E16" s="50"/>
      <c r="F16" s="38">
        <f t="shared" si="1"/>
        <v>0</v>
      </c>
      <c r="G16" s="33">
        <f t="shared" si="0"/>
        <v>0</v>
      </c>
    </row>
    <row r="17" spans="1:7" ht="14.25" customHeight="1" hidden="1">
      <c r="A17" s="47">
        <v>715310</v>
      </c>
      <c r="B17" s="48"/>
      <c r="C17" s="55" t="s">
        <v>386</v>
      </c>
      <c r="D17" s="50">
        <v>0</v>
      </c>
      <c r="E17" s="50"/>
      <c r="F17" s="38">
        <f t="shared" si="1"/>
        <v>0</v>
      </c>
      <c r="G17" s="33">
        <f t="shared" si="0"/>
        <v>0</v>
      </c>
    </row>
    <row r="18" spans="1:7" ht="17.25" customHeight="1">
      <c r="A18" s="34">
        <v>717000</v>
      </c>
      <c r="B18" s="35"/>
      <c r="C18" s="60" t="s">
        <v>276</v>
      </c>
      <c r="D18" s="43">
        <f>SUM(D19)</f>
        <v>12800000</v>
      </c>
      <c r="E18" s="43">
        <f>SUM(E19)</f>
        <v>13550000</v>
      </c>
      <c r="F18" s="44">
        <f t="shared" si="1"/>
        <v>105.859375</v>
      </c>
      <c r="G18" s="46">
        <f t="shared" si="0"/>
        <v>49.45255474452554</v>
      </c>
    </row>
    <row r="19" spans="1:7" ht="14.25" customHeight="1">
      <c r="A19" s="61" t="s">
        <v>412</v>
      </c>
      <c r="B19" s="59"/>
      <c r="C19" s="55" t="s">
        <v>276</v>
      </c>
      <c r="D19" s="50">
        <v>12800000</v>
      </c>
      <c r="E19" s="50">
        <v>13550000</v>
      </c>
      <c r="F19" s="100">
        <f t="shared" si="1"/>
        <v>105.859375</v>
      </c>
      <c r="G19" s="298">
        <f t="shared" si="0"/>
        <v>49.45255474452554</v>
      </c>
    </row>
    <row r="20" spans="1:7" ht="14.25" customHeight="1">
      <c r="A20" s="34">
        <v>719000</v>
      </c>
      <c r="B20" s="35"/>
      <c r="C20" s="53" t="s">
        <v>277</v>
      </c>
      <c r="D20" s="43">
        <f>SUM(D21)</f>
        <v>160000</v>
      </c>
      <c r="E20" s="43">
        <f>SUM(E21)</f>
        <v>150000</v>
      </c>
      <c r="F20" s="44">
        <f t="shared" si="1"/>
        <v>93.75</v>
      </c>
      <c r="G20" s="46">
        <f t="shared" si="0"/>
        <v>0.5474452554744526</v>
      </c>
    </row>
    <row r="21" spans="1:7" ht="14.25" customHeight="1">
      <c r="A21" s="47">
        <v>719113</v>
      </c>
      <c r="B21" s="48"/>
      <c r="C21" s="54" t="s">
        <v>9</v>
      </c>
      <c r="D21" s="50">
        <v>160000</v>
      </c>
      <c r="E21" s="422">
        <v>150000</v>
      </c>
      <c r="F21" s="100">
        <f t="shared" si="1"/>
        <v>93.75</v>
      </c>
      <c r="G21" s="298">
        <f t="shared" si="0"/>
        <v>0.5474452554744526</v>
      </c>
    </row>
    <row r="22" spans="1:7" ht="18" customHeight="1">
      <c r="A22" s="34">
        <v>720000</v>
      </c>
      <c r="B22" s="35"/>
      <c r="C22" s="36" t="s">
        <v>203</v>
      </c>
      <c r="D22" s="37">
        <f>D23+D31+D75+D77+D81</f>
        <v>9360120</v>
      </c>
      <c r="E22" s="37">
        <f>E23+E31+E75+E77+E81</f>
        <v>9336300</v>
      </c>
      <c r="F22" s="38">
        <f t="shared" si="1"/>
        <v>99.74551608312714</v>
      </c>
      <c r="G22" s="145">
        <f t="shared" si="0"/>
        <v>34.074087591240875</v>
      </c>
    </row>
    <row r="23" spans="1:7" ht="18" customHeight="1">
      <c r="A23" s="34">
        <v>721000</v>
      </c>
      <c r="B23" s="35"/>
      <c r="C23" s="42" t="s">
        <v>144</v>
      </c>
      <c r="D23" s="43">
        <f>D24+D29</f>
        <v>409000</v>
      </c>
      <c r="E23" s="43">
        <f>E24+E29</f>
        <v>391410</v>
      </c>
      <c r="F23" s="44">
        <f t="shared" si="1"/>
        <v>95.69926650366747</v>
      </c>
      <c r="G23" s="46">
        <f t="shared" si="0"/>
        <v>1.4285036496350365</v>
      </c>
    </row>
    <row r="24" spans="1:7" ht="18" customHeight="1">
      <c r="A24" s="40">
        <v>721200</v>
      </c>
      <c r="B24" s="41"/>
      <c r="C24" s="53" t="s">
        <v>145</v>
      </c>
      <c r="D24" s="62">
        <f>SUM(D25:D28)</f>
        <v>409000</v>
      </c>
      <c r="E24" s="62">
        <f>SUM(E25:E28)</f>
        <v>391410</v>
      </c>
      <c r="F24" s="63">
        <f t="shared" si="1"/>
        <v>95.69926650366747</v>
      </c>
      <c r="G24" s="64">
        <f t="shared" si="0"/>
        <v>1.4285036496350365</v>
      </c>
    </row>
    <row r="25" spans="1:7" ht="14.25" customHeight="1">
      <c r="A25" s="47">
        <v>721222</v>
      </c>
      <c r="B25" s="48"/>
      <c r="C25" s="54" t="s">
        <v>565</v>
      </c>
      <c r="D25" s="50">
        <v>20000</v>
      </c>
      <c r="E25" s="50">
        <v>17100</v>
      </c>
      <c r="F25" s="100">
        <f t="shared" si="1"/>
        <v>85.5</v>
      </c>
      <c r="G25" s="298">
        <f t="shared" si="0"/>
        <v>0.06240875912408759</v>
      </c>
    </row>
    <row r="26" spans="1:7" ht="14.25" customHeight="1">
      <c r="A26" s="101">
        <v>721222</v>
      </c>
      <c r="B26" s="48"/>
      <c r="C26" s="54" t="s">
        <v>469</v>
      </c>
      <c r="D26" s="50">
        <v>46000</v>
      </c>
      <c r="E26" s="50">
        <v>46000</v>
      </c>
      <c r="F26" s="100">
        <f t="shared" si="1"/>
        <v>100</v>
      </c>
      <c r="G26" s="298">
        <f t="shared" si="0"/>
        <v>0.1678832116788321</v>
      </c>
    </row>
    <row r="27" spans="1:7" ht="14.25" customHeight="1">
      <c r="A27" s="47">
        <v>721223</v>
      </c>
      <c r="B27" s="48"/>
      <c r="C27" s="55" t="s">
        <v>10</v>
      </c>
      <c r="D27" s="50">
        <v>330000</v>
      </c>
      <c r="E27" s="50">
        <f>295000+20000</f>
        <v>315000</v>
      </c>
      <c r="F27" s="100">
        <f t="shared" si="1"/>
        <v>95.45454545454545</v>
      </c>
      <c r="G27" s="298">
        <f t="shared" si="0"/>
        <v>1.1496350364963503</v>
      </c>
    </row>
    <row r="28" spans="1:7" ht="14.25" customHeight="1">
      <c r="A28" s="47">
        <v>721224</v>
      </c>
      <c r="B28" s="48"/>
      <c r="C28" s="55" t="s">
        <v>204</v>
      </c>
      <c r="D28" s="50">
        <v>13000</v>
      </c>
      <c r="E28" s="50">
        <v>13310</v>
      </c>
      <c r="F28" s="100">
        <f t="shared" si="1"/>
        <v>102.38461538461539</v>
      </c>
      <c r="G28" s="298">
        <f t="shared" si="0"/>
        <v>0.048576642335766425</v>
      </c>
    </row>
    <row r="29" spans="1:7" ht="18" customHeight="1" hidden="1">
      <c r="A29" s="40">
        <v>721300</v>
      </c>
      <c r="B29" s="41"/>
      <c r="C29" s="53" t="s">
        <v>146</v>
      </c>
      <c r="D29" s="62">
        <f>SUM(D30:D30)</f>
        <v>0</v>
      </c>
      <c r="E29" s="62">
        <f>SUM(E30:E30)</f>
        <v>0</v>
      </c>
      <c r="F29" s="63">
        <f t="shared" si="1"/>
        <v>0</v>
      </c>
      <c r="G29" s="64">
        <f t="shared" si="0"/>
        <v>0</v>
      </c>
    </row>
    <row r="30" spans="1:7" ht="14.25" customHeight="1" hidden="1">
      <c r="A30" s="58">
        <v>721310</v>
      </c>
      <c r="B30" s="59"/>
      <c r="C30" s="54" t="s">
        <v>205</v>
      </c>
      <c r="D30" s="50">
        <v>0</v>
      </c>
      <c r="E30" s="50">
        <v>0</v>
      </c>
      <c r="F30" s="100">
        <f t="shared" si="1"/>
        <v>0</v>
      </c>
      <c r="G30" s="298">
        <f t="shared" si="0"/>
        <v>0</v>
      </c>
    </row>
    <row r="31" spans="1:7" ht="17.25" customHeight="1">
      <c r="A31" s="34">
        <v>722000</v>
      </c>
      <c r="B31" s="35"/>
      <c r="C31" s="53" t="s">
        <v>147</v>
      </c>
      <c r="D31" s="43">
        <f>D32+D35+D43+D53</f>
        <v>8760620</v>
      </c>
      <c r="E31" s="43">
        <f>E32+E35+E43+E53</f>
        <v>8738290</v>
      </c>
      <c r="F31" s="44">
        <f t="shared" si="1"/>
        <v>99.74510936440572</v>
      </c>
      <c r="G31" s="46">
        <f t="shared" si="0"/>
        <v>31.891569343065697</v>
      </c>
    </row>
    <row r="32" spans="1:7" ht="17.25" customHeight="1">
      <c r="A32" s="40">
        <v>722100</v>
      </c>
      <c r="B32" s="41"/>
      <c r="C32" s="53" t="s">
        <v>11</v>
      </c>
      <c r="D32" s="65">
        <f>SUM(D33:D34)</f>
        <v>225000</v>
      </c>
      <c r="E32" s="65">
        <f>SUM(E33:E34)</f>
        <v>178000</v>
      </c>
      <c r="F32" s="63">
        <f t="shared" si="1"/>
        <v>79.11111111111111</v>
      </c>
      <c r="G32" s="64">
        <f t="shared" si="0"/>
        <v>0.6496350364963503</v>
      </c>
    </row>
    <row r="33" spans="1:7" ht="13.5" customHeight="1" hidden="1">
      <c r="A33" s="47">
        <v>722118</v>
      </c>
      <c r="B33" s="41"/>
      <c r="C33" s="54" t="s">
        <v>319</v>
      </c>
      <c r="D33" s="50">
        <v>0</v>
      </c>
      <c r="E33" s="50"/>
      <c r="F33" s="63">
        <f t="shared" si="1"/>
        <v>0</v>
      </c>
      <c r="G33" s="64">
        <f t="shared" si="0"/>
        <v>0</v>
      </c>
    </row>
    <row r="34" spans="1:7" ht="14.25" customHeight="1">
      <c r="A34" s="47" t="s">
        <v>602</v>
      </c>
      <c r="B34" s="48"/>
      <c r="C34" s="54" t="s">
        <v>566</v>
      </c>
      <c r="D34" s="76">
        <v>225000</v>
      </c>
      <c r="E34" s="76">
        <v>178000</v>
      </c>
      <c r="F34" s="100">
        <f t="shared" si="1"/>
        <v>79.11111111111111</v>
      </c>
      <c r="G34" s="298">
        <f t="shared" si="0"/>
        <v>0.6496350364963503</v>
      </c>
    </row>
    <row r="35" spans="1:7" ht="15.75" customHeight="1">
      <c r="A35" s="40">
        <v>722300</v>
      </c>
      <c r="B35" s="41"/>
      <c r="C35" s="53" t="s">
        <v>12</v>
      </c>
      <c r="D35" s="65">
        <f>SUM(D36:D42)</f>
        <v>581000</v>
      </c>
      <c r="E35" s="65">
        <f>SUM(E36:E42)</f>
        <v>489000</v>
      </c>
      <c r="F35" s="63">
        <f t="shared" si="1"/>
        <v>84.16523235800344</v>
      </c>
      <c r="G35" s="64">
        <f t="shared" si="0"/>
        <v>1.784671532846715</v>
      </c>
    </row>
    <row r="36" spans="1:7" ht="14.25" customHeight="1">
      <c r="A36" s="47">
        <v>722312</v>
      </c>
      <c r="B36" s="48"/>
      <c r="C36" s="54" t="s">
        <v>258</v>
      </c>
      <c r="D36" s="50">
        <v>30000</v>
      </c>
      <c r="E36" s="422">
        <v>40000</v>
      </c>
      <c r="F36" s="100">
        <f t="shared" si="1"/>
        <v>133.33333333333331</v>
      </c>
      <c r="G36" s="298">
        <f t="shared" si="0"/>
        <v>0.145985401459854</v>
      </c>
    </row>
    <row r="37" spans="1:7" ht="24" customHeight="1">
      <c r="A37" s="47">
        <v>722314</v>
      </c>
      <c r="B37" s="48"/>
      <c r="C37" s="54" t="s">
        <v>259</v>
      </c>
      <c r="D37" s="50">
        <v>195000</v>
      </c>
      <c r="E37" s="422">
        <v>100000</v>
      </c>
      <c r="F37" s="100">
        <f t="shared" si="1"/>
        <v>51.28205128205128</v>
      </c>
      <c r="G37" s="298">
        <f aca="true" t="shared" si="2" ref="G37:G59">E37/$E$116*100</f>
        <v>0.36496350364963503</v>
      </c>
    </row>
    <row r="38" spans="1:7" ht="25.5" customHeight="1">
      <c r="A38" s="47">
        <v>722317</v>
      </c>
      <c r="B38" s="48"/>
      <c r="C38" s="54" t="s">
        <v>260</v>
      </c>
      <c r="D38" s="50">
        <v>500</v>
      </c>
      <c r="E38" s="50">
        <v>0</v>
      </c>
      <c r="F38" s="100">
        <f t="shared" si="1"/>
        <v>0</v>
      </c>
      <c r="G38" s="298">
        <f t="shared" si="2"/>
        <v>0</v>
      </c>
    </row>
    <row r="39" spans="1:7" ht="14.25" customHeight="1">
      <c r="A39" s="47">
        <v>722318</v>
      </c>
      <c r="B39" s="48"/>
      <c r="C39" s="54" t="s">
        <v>13</v>
      </c>
      <c r="D39" s="76">
        <v>2500</v>
      </c>
      <c r="E39" s="76">
        <v>2000</v>
      </c>
      <c r="F39" s="100">
        <f t="shared" si="1"/>
        <v>80</v>
      </c>
      <c r="G39" s="298">
        <f t="shared" si="2"/>
        <v>0.007299270072992701</v>
      </c>
    </row>
    <row r="40" spans="1:7" ht="24.75" customHeight="1">
      <c r="A40" s="47">
        <v>722319</v>
      </c>
      <c r="B40" s="48"/>
      <c r="C40" s="54" t="s">
        <v>471</v>
      </c>
      <c r="D40" s="76">
        <v>325000</v>
      </c>
      <c r="E40" s="76">
        <v>314000</v>
      </c>
      <c r="F40" s="100">
        <f t="shared" si="1"/>
        <v>96.61538461538461</v>
      </c>
      <c r="G40" s="298">
        <f t="shared" si="2"/>
        <v>1.145985401459854</v>
      </c>
    </row>
    <row r="41" spans="1:7" ht="24" customHeight="1">
      <c r="A41" s="47">
        <v>722391</v>
      </c>
      <c r="B41" s="48"/>
      <c r="C41" s="54" t="s">
        <v>14</v>
      </c>
      <c r="D41" s="50">
        <v>13000</v>
      </c>
      <c r="E41" s="50">
        <v>13000</v>
      </c>
      <c r="F41" s="100">
        <f t="shared" si="1"/>
        <v>100</v>
      </c>
      <c r="G41" s="298">
        <f t="shared" si="2"/>
        <v>0.04744525547445255</v>
      </c>
    </row>
    <row r="42" spans="1:7" ht="14.25" customHeight="1">
      <c r="A42" s="47">
        <v>722396</v>
      </c>
      <c r="B42" s="48"/>
      <c r="C42" s="54" t="s">
        <v>148</v>
      </c>
      <c r="D42" s="50">
        <v>15000</v>
      </c>
      <c r="E42" s="422">
        <v>20000</v>
      </c>
      <c r="F42" s="100">
        <f t="shared" si="1"/>
        <v>133.33333333333331</v>
      </c>
      <c r="G42" s="298">
        <f t="shared" si="2"/>
        <v>0.072992700729927</v>
      </c>
    </row>
    <row r="43" spans="1:7" ht="14.25" customHeight="1">
      <c r="A43" s="40">
        <v>722400</v>
      </c>
      <c r="B43" s="41"/>
      <c r="C43" s="60" t="s">
        <v>15</v>
      </c>
      <c r="D43" s="63">
        <f>SUM(D44:D52)</f>
        <v>1522000</v>
      </c>
      <c r="E43" s="63">
        <f>SUM(E44:E52)</f>
        <v>1609000</v>
      </c>
      <c r="F43" s="63">
        <f t="shared" si="1"/>
        <v>105.71616294349539</v>
      </c>
      <c r="G43" s="64">
        <f t="shared" si="2"/>
        <v>5.872262773722628</v>
      </c>
    </row>
    <row r="44" spans="1:7" ht="14.25" customHeight="1">
      <c r="A44" s="47">
        <v>722411</v>
      </c>
      <c r="B44" s="48"/>
      <c r="C44" s="54" t="s">
        <v>586</v>
      </c>
      <c r="D44" s="50">
        <v>325000</v>
      </c>
      <c r="E44" s="50">
        <f>295000+110000</f>
        <v>405000</v>
      </c>
      <c r="F44" s="100">
        <f t="shared" si="1"/>
        <v>124.61538461538461</v>
      </c>
      <c r="G44" s="298">
        <f t="shared" si="2"/>
        <v>1.4781021897810218</v>
      </c>
    </row>
    <row r="45" spans="1:7" ht="14.25" customHeight="1">
      <c r="A45" s="47">
        <v>722424</v>
      </c>
      <c r="B45" s="48"/>
      <c r="C45" s="54" t="s">
        <v>206</v>
      </c>
      <c r="D45" s="50">
        <v>75000</v>
      </c>
      <c r="E45" s="50">
        <v>64000</v>
      </c>
      <c r="F45" s="100">
        <f t="shared" si="1"/>
        <v>85.33333333333334</v>
      </c>
      <c r="G45" s="298">
        <f t="shared" si="2"/>
        <v>0.23357664233576644</v>
      </c>
    </row>
    <row r="46" spans="1:7" ht="14.25" customHeight="1">
      <c r="A46" s="47">
        <v>722425</v>
      </c>
      <c r="B46" s="48"/>
      <c r="C46" s="54" t="s">
        <v>207</v>
      </c>
      <c r="D46" s="50">
        <v>195000</v>
      </c>
      <c r="E46" s="50">
        <f>40000+165000</f>
        <v>205000</v>
      </c>
      <c r="F46" s="100">
        <f t="shared" si="1"/>
        <v>105.12820512820514</v>
      </c>
      <c r="G46" s="298">
        <f t="shared" si="2"/>
        <v>0.7481751824817519</v>
      </c>
    </row>
    <row r="47" spans="1:7" ht="26.25" customHeight="1">
      <c r="A47" s="47">
        <v>722435</v>
      </c>
      <c r="B47" s="48"/>
      <c r="C47" s="54" t="s">
        <v>569</v>
      </c>
      <c r="D47" s="76">
        <v>220000</v>
      </c>
      <c r="E47" s="50">
        <v>250000</v>
      </c>
      <c r="F47" s="100">
        <f t="shared" si="1"/>
        <v>113.63636363636364</v>
      </c>
      <c r="G47" s="298">
        <f t="shared" si="2"/>
        <v>0.9124087591240875</v>
      </c>
    </row>
    <row r="48" spans="1:7" ht="24" customHeight="1">
      <c r="A48" s="47">
        <v>722437</v>
      </c>
      <c r="B48" s="48"/>
      <c r="C48" s="54" t="s">
        <v>217</v>
      </c>
      <c r="D48" s="50">
        <v>24000</v>
      </c>
      <c r="E48" s="50">
        <v>30000</v>
      </c>
      <c r="F48" s="100">
        <f t="shared" si="1"/>
        <v>125</v>
      </c>
      <c r="G48" s="298">
        <f t="shared" si="2"/>
        <v>0.10948905109489052</v>
      </c>
    </row>
    <row r="49" spans="1:7" ht="26.25" customHeight="1">
      <c r="A49" s="58">
        <v>722440</v>
      </c>
      <c r="B49" s="59"/>
      <c r="C49" s="57" t="s">
        <v>372</v>
      </c>
      <c r="D49" s="50">
        <v>150000</v>
      </c>
      <c r="E49" s="50">
        <v>150000</v>
      </c>
      <c r="F49" s="100">
        <f t="shared" si="1"/>
        <v>100</v>
      </c>
      <c r="G49" s="298">
        <f t="shared" si="2"/>
        <v>0.5474452554744526</v>
      </c>
    </row>
    <row r="50" spans="1:7" ht="24.75" customHeight="1">
      <c r="A50" s="47">
        <v>722461</v>
      </c>
      <c r="B50" s="48"/>
      <c r="C50" s="54" t="s">
        <v>53</v>
      </c>
      <c r="D50" s="50">
        <v>295000</v>
      </c>
      <c r="E50" s="50">
        <v>260000</v>
      </c>
      <c r="F50" s="100">
        <f t="shared" si="1"/>
        <v>88.13559322033898</v>
      </c>
      <c r="G50" s="298">
        <f t="shared" si="2"/>
        <v>0.948905109489051</v>
      </c>
    </row>
    <row r="51" spans="1:7" ht="13.5" customHeight="1">
      <c r="A51" s="47">
        <v>722467</v>
      </c>
      <c r="B51" s="48"/>
      <c r="C51" s="54" t="s">
        <v>16</v>
      </c>
      <c r="D51" s="50">
        <v>225000</v>
      </c>
      <c r="E51" s="50">
        <v>230000</v>
      </c>
      <c r="F51" s="100">
        <f t="shared" si="1"/>
        <v>102.22222222222221</v>
      </c>
      <c r="G51" s="298">
        <f t="shared" si="2"/>
        <v>0.8394160583941607</v>
      </c>
    </row>
    <row r="52" spans="1:7" ht="24" customHeight="1">
      <c r="A52" s="47">
        <v>722491</v>
      </c>
      <c r="B52" s="48"/>
      <c r="C52" s="54" t="s">
        <v>257</v>
      </c>
      <c r="D52" s="50">
        <v>13000</v>
      </c>
      <c r="E52" s="50">
        <v>15000</v>
      </c>
      <c r="F52" s="100">
        <f t="shared" si="1"/>
        <v>115.38461538461537</v>
      </c>
      <c r="G52" s="298">
        <f t="shared" si="2"/>
        <v>0.05474452554744526</v>
      </c>
    </row>
    <row r="53" spans="1:7" ht="16.5" customHeight="1">
      <c r="A53" s="66">
        <v>722500</v>
      </c>
      <c r="B53" s="67"/>
      <c r="C53" s="53" t="s">
        <v>474</v>
      </c>
      <c r="D53" s="63">
        <f>D54+D56+D67</f>
        <v>6432620</v>
      </c>
      <c r="E53" s="63">
        <f>E54+E56+E67</f>
        <v>6462290</v>
      </c>
      <c r="F53" s="63">
        <f t="shared" si="1"/>
        <v>100.46124285283446</v>
      </c>
      <c r="G53" s="64">
        <f t="shared" si="2"/>
        <v>23.585</v>
      </c>
    </row>
    <row r="54" spans="1:7" ht="17.25" customHeight="1">
      <c r="A54" s="47"/>
      <c r="B54" s="328"/>
      <c r="C54" s="322" t="s">
        <v>567</v>
      </c>
      <c r="D54" s="324">
        <f>SUM(D55)</f>
        <v>0</v>
      </c>
      <c r="E54" s="324">
        <f>SUM(E55)</f>
        <v>8000</v>
      </c>
      <c r="F54" s="63">
        <f t="shared" si="1"/>
        <v>0</v>
      </c>
      <c r="G54" s="64">
        <f t="shared" si="2"/>
        <v>0.029197080291970805</v>
      </c>
    </row>
    <row r="55" spans="1:7" ht="16.5" customHeight="1">
      <c r="A55" s="47">
        <v>722521</v>
      </c>
      <c r="B55" s="328"/>
      <c r="C55" s="325" t="s">
        <v>568</v>
      </c>
      <c r="D55" s="100">
        <v>0</v>
      </c>
      <c r="E55" s="423">
        <v>8000</v>
      </c>
      <c r="F55" s="100">
        <f t="shared" si="1"/>
        <v>0</v>
      </c>
      <c r="G55" s="298">
        <f t="shared" si="2"/>
        <v>0.029197080291970805</v>
      </c>
    </row>
    <row r="56" spans="1:7" ht="15" customHeight="1">
      <c r="A56" s="47"/>
      <c r="B56" s="48"/>
      <c r="C56" s="327" t="s">
        <v>496</v>
      </c>
      <c r="D56" s="324">
        <f>SUM(D57:D66)</f>
        <v>6136100</v>
      </c>
      <c r="E56" s="324">
        <f>SUM(E57:E66)</f>
        <v>6124400</v>
      </c>
      <c r="F56" s="63">
        <f t="shared" si="1"/>
        <v>99.80932514137645</v>
      </c>
      <c r="G56" s="64">
        <f t="shared" si="2"/>
        <v>22.35182481751825</v>
      </c>
    </row>
    <row r="57" spans="1:7" ht="14.25" customHeight="1">
      <c r="A57" s="101">
        <v>722561</v>
      </c>
      <c r="B57" s="48"/>
      <c r="C57" s="54" t="s">
        <v>460</v>
      </c>
      <c r="D57" s="50">
        <v>312000</v>
      </c>
      <c r="E57" s="50">
        <v>312000</v>
      </c>
      <c r="F57" s="100">
        <f t="shared" si="1"/>
        <v>100</v>
      </c>
      <c r="G57" s="298">
        <f t="shared" si="2"/>
        <v>1.1386861313868613</v>
      </c>
    </row>
    <row r="58" spans="1:7" ht="14.25" customHeight="1">
      <c r="A58" s="101">
        <v>722562</v>
      </c>
      <c r="B58" s="48"/>
      <c r="C58" s="54" t="s">
        <v>461</v>
      </c>
      <c r="D58" s="50">
        <v>40000</v>
      </c>
      <c r="E58" s="50">
        <v>31400</v>
      </c>
      <c r="F58" s="100">
        <f t="shared" si="1"/>
        <v>78.5</v>
      </c>
      <c r="G58" s="298">
        <f t="shared" si="2"/>
        <v>0.1145985401459854</v>
      </c>
    </row>
    <row r="59" spans="1:7" ht="14.25" customHeight="1">
      <c r="A59" s="101">
        <v>722565</v>
      </c>
      <c r="B59" s="48"/>
      <c r="C59" s="54" t="s">
        <v>503</v>
      </c>
      <c r="D59" s="50">
        <v>650000</v>
      </c>
      <c r="E59" s="50">
        <v>645000</v>
      </c>
      <c r="F59" s="100">
        <f t="shared" si="1"/>
        <v>99.23076923076923</v>
      </c>
      <c r="G59" s="298">
        <f t="shared" si="2"/>
        <v>2.354014598540146</v>
      </c>
    </row>
    <row r="60" spans="1:7" ht="14.25" customHeight="1">
      <c r="A60" s="101">
        <v>722571</v>
      </c>
      <c r="B60" s="48"/>
      <c r="C60" s="54" t="s">
        <v>462</v>
      </c>
      <c r="D60" s="50">
        <v>4297100</v>
      </c>
      <c r="E60" s="50">
        <v>4195000</v>
      </c>
      <c r="F60" s="100">
        <f aca="true" t="shared" si="3" ref="F60:F66">IF(D60&gt;0,E61/D60*100,0)</f>
        <v>8.610458216006144</v>
      </c>
      <c r="G60" s="298">
        <f aca="true" t="shared" si="4" ref="G60:G66">E61/$E$116*100</f>
        <v>1.3503649635036497</v>
      </c>
    </row>
    <row r="61" spans="1:7" ht="14.25" customHeight="1">
      <c r="A61" s="101">
        <v>722575</v>
      </c>
      <c r="B61" s="48"/>
      <c r="C61" s="54" t="s">
        <v>466</v>
      </c>
      <c r="D61" s="50">
        <v>370000</v>
      </c>
      <c r="E61" s="50">
        <v>370000</v>
      </c>
      <c r="F61" s="100">
        <f t="shared" si="3"/>
        <v>10.81081081081081</v>
      </c>
      <c r="G61" s="298">
        <f t="shared" si="4"/>
        <v>0.145985401459854</v>
      </c>
    </row>
    <row r="62" spans="1:7" ht="14.25" customHeight="1">
      <c r="A62" s="101">
        <v>722576</v>
      </c>
      <c r="B62" s="48"/>
      <c r="C62" s="54" t="s">
        <v>560</v>
      </c>
      <c r="D62" s="50">
        <v>28000</v>
      </c>
      <c r="E62" s="50">
        <v>40000</v>
      </c>
      <c r="F62" s="100">
        <f t="shared" si="3"/>
        <v>892.8571428571429</v>
      </c>
      <c r="G62" s="298">
        <f t="shared" si="4"/>
        <v>0.9124087591240875</v>
      </c>
    </row>
    <row r="63" spans="1:7" ht="26.25" customHeight="1">
      <c r="A63" s="101">
        <v>722577</v>
      </c>
      <c r="B63" s="48"/>
      <c r="C63" s="54" t="s">
        <v>467</v>
      </c>
      <c r="D63" s="50">
        <v>230000</v>
      </c>
      <c r="E63" s="50">
        <v>250000</v>
      </c>
      <c r="F63" s="100">
        <f t="shared" si="3"/>
        <v>117.3913043478261</v>
      </c>
      <c r="G63" s="298">
        <f t="shared" si="4"/>
        <v>0.9854014598540146</v>
      </c>
    </row>
    <row r="64" spans="1:7" ht="14.25" customHeight="1">
      <c r="A64" s="101">
        <v>722578</v>
      </c>
      <c r="B64" s="48"/>
      <c r="C64" s="54" t="s">
        <v>463</v>
      </c>
      <c r="D64" s="50">
        <v>200000</v>
      </c>
      <c r="E64" s="50">
        <v>270000</v>
      </c>
      <c r="F64" s="100">
        <f t="shared" si="3"/>
        <v>2</v>
      </c>
      <c r="G64" s="298">
        <f t="shared" si="4"/>
        <v>0.014598540145985403</v>
      </c>
    </row>
    <row r="65" spans="1:7" ht="14.25" customHeight="1">
      <c r="A65" s="101">
        <v>722583</v>
      </c>
      <c r="B65" s="48"/>
      <c r="C65" s="54" t="s">
        <v>464</v>
      </c>
      <c r="D65" s="50">
        <v>2000</v>
      </c>
      <c r="E65" s="50">
        <v>4000</v>
      </c>
      <c r="F65" s="100">
        <f t="shared" si="3"/>
        <v>350</v>
      </c>
      <c r="G65" s="298">
        <f t="shared" si="4"/>
        <v>0.025547445255474456</v>
      </c>
    </row>
    <row r="66" spans="1:7" ht="14.25" customHeight="1">
      <c r="A66" s="101">
        <v>722589</v>
      </c>
      <c r="B66" s="48"/>
      <c r="C66" s="54" t="s">
        <v>465</v>
      </c>
      <c r="D66" s="50">
        <v>7000</v>
      </c>
      <c r="E66" s="50">
        <v>7000</v>
      </c>
      <c r="F66" s="100">
        <f t="shared" si="3"/>
        <v>4712.714285714285</v>
      </c>
      <c r="G66" s="298">
        <f t="shared" si="4"/>
        <v>1.2039781021897809</v>
      </c>
    </row>
    <row r="67" spans="1:7" ht="20.25" customHeight="1">
      <c r="A67" s="101"/>
      <c r="B67" s="48"/>
      <c r="C67" s="53" t="s">
        <v>497</v>
      </c>
      <c r="D67" s="63">
        <f>SUM(D68:D74)</f>
        <v>296520</v>
      </c>
      <c r="E67" s="63">
        <f>SUM(E68:E74)</f>
        <v>329890</v>
      </c>
      <c r="F67" s="63">
        <f t="shared" si="1"/>
        <v>111.25387832186699</v>
      </c>
      <c r="G67" s="64">
        <f aca="true" t="shared" si="5" ref="G67:G102">E67/$E$116*100</f>
        <v>1.2039781021897809</v>
      </c>
    </row>
    <row r="68" spans="1:7" ht="14.25" customHeight="1">
      <c r="A68" s="47">
        <v>722591</v>
      </c>
      <c r="B68" s="48"/>
      <c r="C68" s="55" t="s">
        <v>346</v>
      </c>
      <c r="D68" s="50">
        <v>55000</v>
      </c>
      <c r="E68" s="50">
        <v>55000</v>
      </c>
      <c r="F68" s="100">
        <f aca="true" t="shared" si="6" ref="F68:F116">IF(D68&gt;0,E68/D68*100,0)</f>
        <v>100</v>
      </c>
      <c r="G68" s="298">
        <f t="shared" si="5"/>
        <v>0.20072992700729927</v>
      </c>
    </row>
    <row r="69" spans="1:7" ht="14.25" customHeight="1">
      <c r="A69" s="47">
        <v>722591</v>
      </c>
      <c r="B69" s="48"/>
      <c r="C69" s="55" t="s">
        <v>347</v>
      </c>
      <c r="D69" s="50">
        <v>217000</v>
      </c>
      <c r="E69" s="50">
        <v>227000</v>
      </c>
      <c r="F69" s="100">
        <f t="shared" si="6"/>
        <v>104.60829493087557</v>
      </c>
      <c r="G69" s="298">
        <f t="shared" si="5"/>
        <v>0.8284671532846715</v>
      </c>
    </row>
    <row r="70" spans="1:7" ht="14.25" customHeight="1">
      <c r="A70" s="47">
        <v>722591</v>
      </c>
      <c r="B70" s="48"/>
      <c r="C70" s="55" t="s">
        <v>222</v>
      </c>
      <c r="D70" s="50">
        <v>4200</v>
      </c>
      <c r="E70" s="50">
        <v>4000</v>
      </c>
      <c r="F70" s="100">
        <f t="shared" si="6"/>
        <v>95.23809523809523</v>
      </c>
      <c r="G70" s="298">
        <f t="shared" si="5"/>
        <v>0.014598540145985403</v>
      </c>
    </row>
    <row r="71" spans="1:7" ht="14.25" customHeight="1">
      <c r="A71" s="47">
        <v>722591</v>
      </c>
      <c r="B71" s="48"/>
      <c r="C71" s="54" t="s">
        <v>219</v>
      </c>
      <c r="D71" s="50">
        <v>17000</v>
      </c>
      <c r="E71" s="50">
        <v>17000</v>
      </c>
      <c r="F71" s="100">
        <f t="shared" si="6"/>
        <v>100</v>
      </c>
      <c r="G71" s="298">
        <f t="shared" si="5"/>
        <v>0.062043795620437964</v>
      </c>
    </row>
    <row r="72" spans="1:7" ht="14.25" customHeight="1">
      <c r="A72" s="47">
        <v>722591</v>
      </c>
      <c r="B72" s="48"/>
      <c r="C72" s="55" t="s">
        <v>678</v>
      </c>
      <c r="D72" s="50">
        <v>1500</v>
      </c>
      <c r="E72" s="50">
        <v>25000</v>
      </c>
      <c r="F72" s="100">
        <f t="shared" si="6"/>
        <v>1666.6666666666667</v>
      </c>
      <c r="G72" s="298">
        <f t="shared" si="5"/>
        <v>0.09124087591240876</v>
      </c>
    </row>
    <row r="73" spans="1:7" ht="14.25" customHeight="1">
      <c r="A73" s="47">
        <v>722591</v>
      </c>
      <c r="B73" s="48"/>
      <c r="C73" s="54" t="s">
        <v>348</v>
      </c>
      <c r="D73" s="50">
        <v>1100</v>
      </c>
      <c r="E73" s="50">
        <v>990</v>
      </c>
      <c r="F73" s="100">
        <f t="shared" si="6"/>
        <v>90</v>
      </c>
      <c r="G73" s="298">
        <f t="shared" si="5"/>
        <v>0.0036131386861313866</v>
      </c>
    </row>
    <row r="74" spans="1:7" ht="14.25" customHeight="1">
      <c r="A74" s="47">
        <v>722591</v>
      </c>
      <c r="B74" s="48"/>
      <c r="C74" s="54" t="s">
        <v>330</v>
      </c>
      <c r="D74" s="50">
        <v>720</v>
      </c>
      <c r="E74" s="50">
        <v>900</v>
      </c>
      <c r="F74" s="100">
        <f t="shared" si="6"/>
        <v>125</v>
      </c>
      <c r="G74" s="298">
        <f t="shared" si="5"/>
        <v>0.0032846715328467154</v>
      </c>
    </row>
    <row r="75" spans="1:7" ht="16.5" customHeight="1">
      <c r="A75" s="34">
        <v>723000</v>
      </c>
      <c r="B75" s="35"/>
      <c r="C75" s="68" t="s">
        <v>17</v>
      </c>
      <c r="D75" s="69">
        <f>D76</f>
        <v>85000</v>
      </c>
      <c r="E75" s="69">
        <f>E76</f>
        <v>94000</v>
      </c>
      <c r="F75" s="44">
        <f t="shared" si="6"/>
        <v>110.58823529411765</v>
      </c>
      <c r="G75" s="46">
        <f t="shared" si="5"/>
        <v>0.34306569343065696</v>
      </c>
    </row>
    <row r="76" spans="1:7" ht="25.5" customHeight="1">
      <c r="A76" s="47">
        <v>723121</v>
      </c>
      <c r="B76" s="48"/>
      <c r="C76" s="54" t="s">
        <v>619</v>
      </c>
      <c r="D76" s="100">
        <v>85000</v>
      </c>
      <c r="E76" s="100">
        <v>94000</v>
      </c>
      <c r="F76" s="100">
        <f t="shared" si="6"/>
        <v>110.58823529411765</v>
      </c>
      <c r="G76" s="298">
        <f t="shared" si="5"/>
        <v>0.34306569343065696</v>
      </c>
    </row>
    <row r="77" spans="1:7" ht="30" customHeight="1">
      <c r="A77" s="339">
        <v>728000</v>
      </c>
      <c r="B77" s="323"/>
      <c r="C77" s="322" t="s">
        <v>601</v>
      </c>
      <c r="D77" s="297">
        <f>SUM(D79:D80)</f>
        <v>40500</v>
      </c>
      <c r="E77" s="297">
        <f>SUM(E78:E80)</f>
        <v>42600</v>
      </c>
      <c r="F77" s="44">
        <f t="shared" si="6"/>
        <v>105.18518518518518</v>
      </c>
      <c r="G77" s="46">
        <f t="shared" si="5"/>
        <v>0.1554744525547445</v>
      </c>
    </row>
    <row r="78" spans="1:7" ht="27.75" customHeight="1">
      <c r="A78" s="101">
        <v>728169</v>
      </c>
      <c r="B78" s="323"/>
      <c r="C78" s="54" t="s">
        <v>603</v>
      </c>
      <c r="D78" s="50">
        <v>0</v>
      </c>
      <c r="E78" s="50">
        <v>600</v>
      </c>
      <c r="F78" s="100">
        <f>IF(D78&gt;0,E78/D78*100,0)</f>
        <v>0</v>
      </c>
      <c r="G78" s="298">
        <f t="shared" si="5"/>
        <v>0.00218978102189781</v>
      </c>
    </row>
    <row r="79" spans="1:7" ht="15.75" customHeight="1">
      <c r="A79" s="101">
        <v>728211</v>
      </c>
      <c r="B79" s="48"/>
      <c r="C79" s="54" t="s">
        <v>498</v>
      </c>
      <c r="D79" s="50">
        <v>37000</v>
      </c>
      <c r="E79" s="50">
        <v>36000</v>
      </c>
      <c r="F79" s="100">
        <f t="shared" si="6"/>
        <v>97.2972972972973</v>
      </c>
      <c r="G79" s="298">
        <f t="shared" si="5"/>
        <v>0.1313868613138686</v>
      </c>
    </row>
    <row r="80" spans="1:7" ht="29.25" customHeight="1">
      <c r="A80" s="101">
        <v>728251</v>
      </c>
      <c r="B80" s="48"/>
      <c r="C80" s="54" t="s">
        <v>499</v>
      </c>
      <c r="D80" s="50">
        <v>3500</v>
      </c>
      <c r="E80" s="50">
        <v>6000</v>
      </c>
      <c r="F80" s="100">
        <f t="shared" si="6"/>
        <v>171.42857142857142</v>
      </c>
      <c r="G80" s="298">
        <f t="shared" si="5"/>
        <v>0.0218978102189781</v>
      </c>
    </row>
    <row r="81" spans="1:7" ht="16.5" customHeight="1">
      <c r="A81" s="34">
        <v>729000</v>
      </c>
      <c r="B81" s="35"/>
      <c r="C81" s="53" t="s">
        <v>18</v>
      </c>
      <c r="D81" s="69">
        <f>SUM(D82:D82)</f>
        <v>65000</v>
      </c>
      <c r="E81" s="69">
        <f>SUM(E82:E82)</f>
        <v>70000</v>
      </c>
      <c r="F81" s="44">
        <f t="shared" si="6"/>
        <v>107.6923076923077</v>
      </c>
      <c r="G81" s="46">
        <f t="shared" si="5"/>
        <v>0.25547445255474455</v>
      </c>
    </row>
    <row r="82" spans="1:7" ht="15" customHeight="1">
      <c r="A82" s="47">
        <v>729124</v>
      </c>
      <c r="B82" s="48"/>
      <c r="C82" s="70" t="s">
        <v>18</v>
      </c>
      <c r="D82" s="50">
        <v>65000</v>
      </c>
      <c r="E82" s="50">
        <v>70000</v>
      </c>
      <c r="F82" s="100">
        <f t="shared" si="6"/>
        <v>107.6923076923077</v>
      </c>
      <c r="G82" s="298">
        <f t="shared" si="5"/>
        <v>0.25547445255474455</v>
      </c>
    </row>
    <row r="83" spans="1:7" ht="16.5" customHeight="1">
      <c r="A83" s="71">
        <v>730000</v>
      </c>
      <c r="B83" s="72"/>
      <c r="C83" s="73" t="s">
        <v>208</v>
      </c>
      <c r="D83" s="37">
        <f>D84+D87</f>
        <v>356528.23</v>
      </c>
      <c r="E83" s="37">
        <f>E84+E87</f>
        <v>0</v>
      </c>
      <c r="F83" s="38">
        <f t="shared" si="6"/>
        <v>0</v>
      </c>
      <c r="G83" s="145">
        <f t="shared" si="5"/>
        <v>0</v>
      </c>
    </row>
    <row r="84" spans="1:7" ht="17.25" customHeight="1">
      <c r="A84" s="66">
        <v>731100</v>
      </c>
      <c r="B84" s="72"/>
      <c r="C84" s="74" t="s">
        <v>376</v>
      </c>
      <c r="D84" s="43">
        <f>SUM(D85:D86)</f>
        <v>260459.96</v>
      </c>
      <c r="E84" s="43">
        <f>SUM(E85)</f>
        <v>0</v>
      </c>
      <c r="F84" s="44">
        <f t="shared" si="6"/>
        <v>0</v>
      </c>
      <c r="G84" s="46">
        <f t="shared" si="5"/>
        <v>0</v>
      </c>
    </row>
    <row r="85" spans="1:7" ht="25.5">
      <c r="A85" s="101">
        <v>731100</v>
      </c>
      <c r="B85" s="429"/>
      <c r="C85" s="102" t="s">
        <v>635</v>
      </c>
      <c r="D85" s="76">
        <v>23469.96</v>
      </c>
      <c r="E85" s="76">
        <v>0</v>
      </c>
      <c r="F85" s="100">
        <f t="shared" si="6"/>
        <v>0</v>
      </c>
      <c r="G85" s="298">
        <f t="shared" si="5"/>
        <v>0</v>
      </c>
    </row>
    <row r="86" spans="1:7" ht="25.5">
      <c r="A86" s="101">
        <v>731100</v>
      </c>
      <c r="B86" s="429"/>
      <c r="C86" s="102" t="s">
        <v>636</v>
      </c>
      <c r="D86" s="76">
        <v>236990</v>
      </c>
      <c r="E86" s="76">
        <v>0</v>
      </c>
      <c r="F86" s="100">
        <f>IF(D86&gt;0,E86/D86*100,0)</f>
        <v>0</v>
      </c>
      <c r="G86" s="298">
        <f>E86/$E$116*100</f>
        <v>0</v>
      </c>
    </row>
    <row r="87" spans="1:7" ht="18" customHeight="1">
      <c r="A87" s="66">
        <v>731200</v>
      </c>
      <c r="B87" s="67"/>
      <c r="C87" s="74" t="s">
        <v>163</v>
      </c>
      <c r="D87" s="43">
        <f>SUM(D88:D91)</f>
        <v>96068.27</v>
      </c>
      <c r="E87" s="43">
        <f>SUM(E88:E91)</f>
        <v>0</v>
      </c>
      <c r="F87" s="44">
        <f t="shared" si="6"/>
        <v>0</v>
      </c>
      <c r="G87" s="46">
        <f t="shared" si="5"/>
        <v>0</v>
      </c>
    </row>
    <row r="88" spans="1:7" ht="38.25">
      <c r="A88" s="61">
        <v>731200</v>
      </c>
      <c r="B88" s="78"/>
      <c r="C88" s="75" t="s">
        <v>639</v>
      </c>
      <c r="D88" s="76">
        <v>7498.77</v>
      </c>
      <c r="E88" s="76">
        <v>0</v>
      </c>
      <c r="F88" s="100">
        <f>IF(D88&gt;0,E88/D88*100,0)</f>
        <v>0</v>
      </c>
      <c r="G88" s="298">
        <f>E88/$E$116*100</f>
        <v>0</v>
      </c>
    </row>
    <row r="89" spans="1:7" ht="25.5">
      <c r="A89" s="47">
        <v>731200</v>
      </c>
      <c r="B89" s="48"/>
      <c r="C89" s="57" t="s">
        <v>640</v>
      </c>
      <c r="D89" s="76">
        <v>46699.5</v>
      </c>
      <c r="E89" s="76">
        <v>0</v>
      </c>
      <c r="F89" s="100">
        <f>IF(D89&gt;0,E89/D89*100,0)</f>
        <v>0</v>
      </c>
      <c r="G89" s="298">
        <f>E89/$E$116*100</f>
        <v>0</v>
      </c>
    </row>
    <row r="90" spans="1:7" ht="30" customHeight="1">
      <c r="A90" s="47">
        <v>731200</v>
      </c>
      <c r="B90" s="48"/>
      <c r="C90" s="57" t="s">
        <v>637</v>
      </c>
      <c r="D90" s="76">
        <v>40670</v>
      </c>
      <c r="E90" s="76">
        <v>0</v>
      </c>
      <c r="F90" s="100">
        <f>IF(D90&gt;0,E90/D90*100,0)</f>
        <v>0</v>
      </c>
      <c r="G90" s="298">
        <f>E90/$E$116*100</f>
        <v>0</v>
      </c>
    </row>
    <row r="91" spans="1:7" ht="25.5">
      <c r="A91" s="47">
        <v>731200</v>
      </c>
      <c r="B91" s="48"/>
      <c r="C91" s="57" t="s">
        <v>638</v>
      </c>
      <c r="D91" s="50">
        <v>1200</v>
      </c>
      <c r="E91" s="50">
        <v>0</v>
      </c>
      <c r="F91" s="100">
        <f t="shared" si="6"/>
        <v>0</v>
      </c>
      <c r="G91" s="298">
        <f t="shared" si="5"/>
        <v>0</v>
      </c>
    </row>
    <row r="92" spans="1:7" s="2" customFormat="1" ht="19.5" customHeight="1">
      <c r="A92" s="71">
        <v>780000</v>
      </c>
      <c r="B92" s="72"/>
      <c r="C92" s="79" t="s">
        <v>278</v>
      </c>
      <c r="D92" s="37">
        <f>D93+D105</f>
        <v>2199336.54</v>
      </c>
      <c r="E92" s="37">
        <f>E93+E105</f>
        <v>2092700</v>
      </c>
      <c r="F92" s="38">
        <f t="shared" si="6"/>
        <v>95.15142234666824</v>
      </c>
      <c r="G92" s="145">
        <f t="shared" si="5"/>
        <v>7.637591240875913</v>
      </c>
    </row>
    <row r="93" spans="1:7" s="2" customFormat="1" ht="27.75" customHeight="1">
      <c r="A93" s="34">
        <v>787000</v>
      </c>
      <c r="B93" s="35"/>
      <c r="C93" s="68" t="s">
        <v>292</v>
      </c>
      <c r="D93" s="43">
        <f>SUM(D94:D104)</f>
        <v>2199336.54</v>
      </c>
      <c r="E93" s="43">
        <f>SUM(E94:E104)</f>
        <v>2092700</v>
      </c>
      <c r="F93" s="44">
        <f t="shared" si="6"/>
        <v>95.15142234666824</v>
      </c>
      <c r="G93" s="46">
        <f t="shared" si="5"/>
        <v>7.637591240875913</v>
      </c>
    </row>
    <row r="94" spans="1:7" s="2" customFormat="1" ht="25.5" customHeight="1">
      <c r="A94" s="58">
        <v>787200</v>
      </c>
      <c r="B94" s="59"/>
      <c r="C94" s="143" t="s">
        <v>209</v>
      </c>
      <c r="D94" s="50">
        <v>1457500</v>
      </c>
      <c r="E94" s="50">
        <v>1456000</v>
      </c>
      <c r="F94" s="100">
        <f t="shared" si="6"/>
        <v>99.89708404802744</v>
      </c>
      <c r="G94" s="298">
        <f t="shared" si="5"/>
        <v>5.313868613138687</v>
      </c>
    </row>
    <row r="95" spans="1:7" s="2" customFormat="1" ht="39.75" customHeight="1">
      <c r="A95" s="58">
        <v>787200</v>
      </c>
      <c r="B95" s="59"/>
      <c r="C95" s="143" t="s">
        <v>314</v>
      </c>
      <c r="D95" s="50">
        <v>31000</v>
      </c>
      <c r="E95" s="50">
        <v>40000</v>
      </c>
      <c r="F95" s="100">
        <f t="shared" si="6"/>
        <v>129.03225806451613</v>
      </c>
      <c r="G95" s="298">
        <f t="shared" si="5"/>
        <v>0.145985401459854</v>
      </c>
    </row>
    <row r="96" spans="1:7" s="2" customFormat="1" ht="25.5" customHeight="1">
      <c r="A96" s="101">
        <v>787200</v>
      </c>
      <c r="B96" s="59"/>
      <c r="C96" s="143" t="s">
        <v>377</v>
      </c>
      <c r="D96" s="50">
        <v>5326.5</v>
      </c>
      <c r="E96" s="50">
        <v>6000</v>
      </c>
      <c r="F96" s="100">
        <f t="shared" si="6"/>
        <v>112.64432554210082</v>
      </c>
      <c r="G96" s="298">
        <f t="shared" si="5"/>
        <v>0.0218978102189781</v>
      </c>
    </row>
    <row r="97" spans="1:7" s="2" customFormat="1" ht="23.25" customHeight="1">
      <c r="A97" s="58">
        <v>787200</v>
      </c>
      <c r="B97" s="59"/>
      <c r="C97" s="143" t="s">
        <v>389</v>
      </c>
      <c r="D97" s="50">
        <v>560000</v>
      </c>
      <c r="E97" s="50">
        <v>570000</v>
      </c>
      <c r="F97" s="100">
        <f t="shared" si="6"/>
        <v>101.78571428571428</v>
      </c>
      <c r="G97" s="298">
        <f t="shared" si="5"/>
        <v>2.0802919708029197</v>
      </c>
    </row>
    <row r="98" spans="1:7" s="2" customFormat="1" ht="25.5" customHeight="1">
      <c r="A98" s="58">
        <v>787200</v>
      </c>
      <c r="B98" s="59"/>
      <c r="C98" s="57" t="s">
        <v>529</v>
      </c>
      <c r="D98" s="50">
        <v>44000</v>
      </c>
      <c r="E98" s="50">
        <v>15000</v>
      </c>
      <c r="F98" s="100">
        <f t="shared" si="6"/>
        <v>34.090909090909086</v>
      </c>
      <c r="G98" s="298">
        <f t="shared" si="5"/>
        <v>0.05474452554744526</v>
      </c>
    </row>
    <row r="99" spans="1:7" s="2" customFormat="1" ht="39" customHeight="1">
      <c r="A99" s="58">
        <v>787200</v>
      </c>
      <c r="B99" s="59"/>
      <c r="C99" s="57" t="s">
        <v>643</v>
      </c>
      <c r="D99" s="50">
        <v>2706</v>
      </c>
      <c r="E99" s="50">
        <v>0</v>
      </c>
      <c r="F99" s="100">
        <f t="shared" si="6"/>
        <v>0</v>
      </c>
      <c r="G99" s="298">
        <f t="shared" si="5"/>
        <v>0</v>
      </c>
    </row>
    <row r="100" spans="1:7" s="2" customFormat="1" ht="25.5" customHeight="1">
      <c r="A100" s="58">
        <v>787200</v>
      </c>
      <c r="B100" s="59"/>
      <c r="C100" s="57" t="s">
        <v>641</v>
      </c>
      <c r="D100" s="50">
        <v>50000</v>
      </c>
      <c r="E100" s="50">
        <v>0</v>
      </c>
      <c r="F100" s="100">
        <f t="shared" si="6"/>
        <v>0</v>
      </c>
      <c r="G100" s="298">
        <f t="shared" si="5"/>
        <v>0</v>
      </c>
    </row>
    <row r="101" spans="1:7" s="2" customFormat="1" ht="25.5" customHeight="1">
      <c r="A101" s="58">
        <v>787200</v>
      </c>
      <c r="B101" s="59"/>
      <c r="C101" s="57" t="s">
        <v>642</v>
      </c>
      <c r="D101" s="50">
        <v>40000</v>
      </c>
      <c r="E101" s="50">
        <v>0</v>
      </c>
      <c r="F101" s="100">
        <f t="shared" si="6"/>
        <v>0</v>
      </c>
      <c r="G101" s="298">
        <f t="shared" si="5"/>
        <v>0</v>
      </c>
    </row>
    <row r="102" spans="1:7" s="2" customFormat="1" ht="25.5">
      <c r="A102" s="58">
        <v>787200</v>
      </c>
      <c r="B102" s="59"/>
      <c r="C102" s="57" t="s">
        <v>336</v>
      </c>
      <c r="D102" s="50">
        <v>3700</v>
      </c>
      <c r="E102" s="50">
        <v>3700</v>
      </c>
      <c r="F102" s="100">
        <f t="shared" si="6"/>
        <v>100</v>
      </c>
      <c r="G102" s="298">
        <f t="shared" si="5"/>
        <v>0.013503649635036497</v>
      </c>
    </row>
    <row r="103" spans="1:7" s="2" customFormat="1" ht="25.5">
      <c r="A103" s="58">
        <v>787300</v>
      </c>
      <c r="B103" s="59"/>
      <c r="C103" s="57" t="s">
        <v>345</v>
      </c>
      <c r="D103" s="50">
        <v>3500</v>
      </c>
      <c r="E103" s="50">
        <v>1000</v>
      </c>
      <c r="F103" s="100">
        <f t="shared" si="6"/>
        <v>28.57142857142857</v>
      </c>
      <c r="G103" s="298">
        <f aca="true" t="shared" si="7" ref="G103:G116">E103/$E$116*100</f>
        <v>0.0036496350364963507</v>
      </c>
    </row>
    <row r="104" spans="1:7" s="2" customFormat="1" ht="25.5">
      <c r="A104" s="448">
        <v>787400</v>
      </c>
      <c r="B104" s="59"/>
      <c r="C104" s="57" t="s">
        <v>358</v>
      </c>
      <c r="D104" s="50">
        <v>1604.04</v>
      </c>
      <c r="E104" s="50">
        <v>1000</v>
      </c>
      <c r="F104" s="100">
        <f t="shared" si="6"/>
        <v>62.342584972943314</v>
      </c>
      <c r="G104" s="298">
        <f t="shared" si="7"/>
        <v>0.0036496350364963507</v>
      </c>
    </row>
    <row r="105" spans="1:7" s="2" customFormat="1" ht="12.75" hidden="1">
      <c r="A105" s="103">
        <v>788000</v>
      </c>
      <c r="B105" s="104"/>
      <c r="C105" s="105" t="s">
        <v>411</v>
      </c>
      <c r="D105" s="43">
        <f>SUM(D106)</f>
        <v>0</v>
      </c>
      <c r="E105" s="43">
        <f>SUM(E106)</f>
        <v>0</v>
      </c>
      <c r="F105" s="44">
        <f t="shared" si="6"/>
        <v>0</v>
      </c>
      <c r="G105" s="46">
        <f t="shared" si="7"/>
        <v>0</v>
      </c>
    </row>
    <row r="106" spans="1:7" s="2" customFormat="1" ht="21.75" customHeight="1" hidden="1">
      <c r="A106" s="58">
        <v>788100</v>
      </c>
      <c r="B106" s="59"/>
      <c r="C106" s="57" t="s">
        <v>536</v>
      </c>
      <c r="D106" s="50">
        <v>0</v>
      </c>
      <c r="E106" s="50"/>
      <c r="F106" s="100">
        <f t="shared" si="6"/>
        <v>0</v>
      </c>
      <c r="G106" s="298">
        <f t="shared" si="7"/>
        <v>0</v>
      </c>
    </row>
    <row r="107" spans="1:7" ht="17.25" customHeight="1">
      <c r="A107" s="384">
        <v>810000</v>
      </c>
      <c r="B107" s="421"/>
      <c r="C107" s="80" t="s">
        <v>243</v>
      </c>
      <c r="D107" s="32">
        <f>D108+D110+D112+D114</f>
        <v>737015.23</v>
      </c>
      <c r="E107" s="32">
        <f>E108+E110+E112+E114</f>
        <v>345000</v>
      </c>
      <c r="F107" s="32">
        <f t="shared" si="6"/>
        <v>46.81043022679464</v>
      </c>
      <c r="G107" s="33">
        <f t="shared" si="7"/>
        <v>1.2591240875912408</v>
      </c>
    </row>
    <row r="108" spans="1:7" ht="15.75" customHeight="1">
      <c r="A108" s="34">
        <v>811000</v>
      </c>
      <c r="B108" s="35"/>
      <c r="C108" s="68" t="s">
        <v>162</v>
      </c>
      <c r="D108" s="43">
        <f>SUM(D109:D109)</f>
        <v>2120</v>
      </c>
      <c r="E108" s="43">
        <f>SUM(E109:E109)</f>
        <v>0</v>
      </c>
      <c r="F108" s="44">
        <f t="shared" si="6"/>
        <v>0</v>
      </c>
      <c r="G108" s="46">
        <f t="shared" si="7"/>
        <v>0</v>
      </c>
    </row>
    <row r="109" spans="1:7" ht="17.25" customHeight="1">
      <c r="A109" s="47">
        <v>811200</v>
      </c>
      <c r="B109" s="81" t="s">
        <v>21</v>
      </c>
      <c r="C109" s="57" t="s">
        <v>644</v>
      </c>
      <c r="D109" s="50">
        <v>2120</v>
      </c>
      <c r="E109" s="50">
        <v>0</v>
      </c>
      <c r="F109" s="100">
        <f t="shared" si="6"/>
        <v>0</v>
      </c>
      <c r="G109" s="298">
        <f t="shared" si="7"/>
        <v>0</v>
      </c>
    </row>
    <row r="110" spans="1:7" ht="18" customHeight="1">
      <c r="A110" s="34">
        <v>813000</v>
      </c>
      <c r="B110" s="35"/>
      <c r="C110" s="68" t="s">
        <v>149</v>
      </c>
      <c r="D110" s="43">
        <f>SUM(D111:D111)</f>
        <v>680000</v>
      </c>
      <c r="E110" s="43">
        <f>SUM(E111:E111)</f>
        <v>300000</v>
      </c>
      <c r="F110" s="44">
        <f t="shared" si="6"/>
        <v>44.11764705882353</v>
      </c>
      <c r="G110" s="46">
        <f t="shared" si="7"/>
        <v>1.094890510948905</v>
      </c>
    </row>
    <row r="111" spans="1:7" ht="14.25" customHeight="1">
      <c r="A111" s="47">
        <v>813110</v>
      </c>
      <c r="B111" s="81" t="s">
        <v>21</v>
      </c>
      <c r="C111" s="57" t="s">
        <v>150</v>
      </c>
      <c r="D111" s="50">
        <v>680000</v>
      </c>
      <c r="E111" s="50">
        <v>300000</v>
      </c>
      <c r="F111" s="100">
        <f t="shared" si="6"/>
        <v>44.11764705882353</v>
      </c>
      <c r="G111" s="298">
        <f t="shared" si="7"/>
        <v>1.094890510948905</v>
      </c>
    </row>
    <row r="112" spans="1:7" ht="27" customHeight="1" hidden="1">
      <c r="A112" s="372">
        <v>814000</v>
      </c>
      <c r="B112" s="81"/>
      <c r="C112" s="105" t="s">
        <v>530</v>
      </c>
      <c r="D112" s="324">
        <f>SUM(D113)</f>
        <v>0</v>
      </c>
      <c r="E112" s="324">
        <f>SUM(E113)</f>
        <v>0</v>
      </c>
      <c r="F112" s="324">
        <f t="shared" si="6"/>
        <v>0</v>
      </c>
      <c r="G112" s="374">
        <f t="shared" si="7"/>
        <v>0</v>
      </c>
    </row>
    <row r="113" spans="1:7" ht="18" customHeight="1" hidden="1">
      <c r="A113" s="370">
        <v>814112</v>
      </c>
      <c r="B113" s="81" t="s">
        <v>29</v>
      </c>
      <c r="C113" s="373" t="s">
        <v>531</v>
      </c>
      <c r="D113" s="50">
        <v>0</v>
      </c>
      <c r="E113" s="50"/>
      <c r="F113" s="100">
        <f t="shared" si="6"/>
        <v>0</v>
      </c>
      <c r="G113" s="298">
        <f t="shared" si="7"/>
        <v>0</v>
      </c>
    </row>
    <row r="114" spans="1:7" ht="25.5" customHeight="1">
      <c r="A114" s="34">
        <v>816000</v>
      </c>
      <c r="B114" s="35"/>
      <c r="C114" s="68" t="s">
        <v>231</v>
      </c>
      <c r="D114" s="43">
        <f>SUM(D115)</f>
        <v>54895.23</v>
      </c>
      <c r="E114" s="43">
        <f>SUM(E115)</f>
        <v>45000</v>
      </c>
      <c r="F114" s="44">
        <f t="shared" si="6"/>
        <v>81.97433547504946</v>
      </c>
      <c r="G114" s="46">
        <f t="shared" si="7"/>
        <v>0.16423357664233576</v>
      </c>
    </row>
    <row r="115" spans="1:7" ht="15" customHeight="1">
      <c r="A115" s="58">
        <v>816150</v>
      </c>
      <c r="B115" s="81" t="s">
        <v>29</v>
      </c>
      <c r="C115" s="57" t="s">
        <v>155</v>
      </c>
      <c r="D115" s="50">
        <v>54895.23</v>
      </c>
      <c r="E115" s="50">
        <v>45000</v>
      </c>
      <c r="F115" s="100">
        <f t="shared" si="6"/>
        <v>81.97433547504946</v>
      </c>
      <c r="G115" s="298">
        <f t="shared" si="7"/>
        <v>0.16423357664233576</v>
      </c>
    </row>
    <row r="116" spans="1:7" ht="29.25" customHeight="1" thickBot="1">
      <c r="A116" s="337"/>
      <c r="B116" s="82"/>
      <c r="C116" s="83" t="s">
        <v>244</v>
      </c>
      <c r="D116" s="84">
        <f>D5+D107</f>
        <v>27430000</v>
      </c>
      <c r="E116" s="84">
        <f>E5+E107</f>
        <v>27400000</v>
      </c>
      <c r="F116" s="85">
        <f t="shared" si="6"/>
        <v>99.8906306963179</v>
      </c>
      <c r="G116" s="86">
        <f t="shared" si="7"/>
        <v>100</v>
      </c>
    </row>
    <row r="117" spans="1:7" ht="29.25" customHeight="1" thickTop="1">
      <c r="A117" s="413"/>
      <c r="B117" s="413"/>
      <c r="C117" s="413"/>
      <c r="D117" s="413"/>
      <c r="E117" s="413"/>
      <c r="F117" s="413"/>
      <c r="G117" s="413"/>
    </row>
    <row r="118" spans="1:7" ht="17.25" customHeight="1">
      <c r="A118" s="414"/>
      <c r="B118" s="414"/>
      <c r="C118" s="414"/>
      <c r="D118" s="415"/>
      <c r="E118" s="415"/>
      <c r="F118" s="414"/>
      <c r="G118" s="414"/>
    </row>
    <row r="119" spans="1:7" s="14" customFormat="1" ht="14.25" hidden="1">
      <c r="A119" s="414"/>
      <c r="B119" s="414"/>
      <c r="C119" s="240" t="s">
        <v>242</v>
      </c>
      <c r="D119" s="44">
        <f>Finansiranje!C13</f>
        <v>2783592.37</v>
      </c>
      <c r="E119" s="44">
        <f>Finansiranje!D13</f>
        <v>5500000</v>
      </c>
      <c r="F119" s="420"/>
      <c r="G119" s="414"/>
    </row>
    <row r="120" spans="1:7" s="14" customFormat="1" ht="15" customHeight="1" hidden="1">
      <c r="A120" s="414"/>
      <c r="B120" s="414"/>
      <c r="C120" s="240" t="s">
        <v>304</v>
      </c>
      <c r="D120" s="44">
        <f>D121+D123</f>
        <v>348783.15</v>
      </c>
      <c r="E120" s="44">
        <f>E121+E123</f>
        <v>360000</v>
      </c>
      <c r="F120" s="420"/>
      <c r="G120" s="414"/>
    </row>
    <row r="121" spans="1:7" s="14" customFormat="1" ht="14.25" customHeight="1" hidden="1">
      <c r="A121" s="414"/>
      <c r="B121" s="414"/>
      <c r="C121" s="68" t="s">
        <v>288</v>
      </c>
      <c r="D121" s="438">
        <f>SUM(D122:D122)</f>
        <v>35500</v>
      </c>
      <c r="E121" s="438">
        <f>SUM(E122:E122)</f>
        <v>44000</v>
      </c>
      <c r="F121" s="420"/>
      <c r="G121" s="414"/>
    </row>
    <row r="122" spans="1:7" s="14" customFormat="1" ht="14.25" customHeight="1" hidden="1">
      <c r="A122" s="414"/>
      <c r="B122" s="414"/>
      <c r="C122" s="143" t="s">
        <v>475</v>
      </c>
      <c r="D122" s="437">
        <v>35500</v>
      </c>
      <c r="E122" s="437">
        <v>44000</v>
      </c>
      <c r="F122" s="420"/>
      <c r="G122" s="414"/>
    </row>
    <row r="123" spans="1:7" s="14" customFormat="1" ht="15" hidden="1">
      <c r="A123" s="414"/>
      <c r="B123" s="414"/>
      <c r="C123" s="246" t="s">
        <v>682</v>
      </c>
      <c r="D123" s="439">
        <f>SUM(D124:D125)</f>
        <v>313283.15</v>
      </c>
      <c r="E123" s="439">
        <f>SUM(E124:E125)</f>
        <v>316000</v>
      </c>
      <c r="F123" s="419"/>
      <c r="G123" s="414"/>
    </row>
    <row r="124" spans="1:7" s="14" customFormat="1" ht="25.5" customHeight="1" hidden="1">
      <c r="A124" s="414"/>
      <c r="B124" s="414"/>
      <c r="C124" s="57" t="s">
        <v>332</v>
      </c>
      <c r="D124" s="437">
        <v>211283.15</v>
      </c>
      <c r="E124" s="437">
        <v>176000</v>
      </c>
      <c r="F124" s="414"/>
      <c r="G124" s="414"/>
    </row>
    <row r="125" spans="1:7" ht="12.75" customHeight="1" hidden="1">
      <c r="A125" s="414"/>
      <c r="B125" s="414"/>
      <c r="C125" s="57" t="s">
        <v>476</v>
      </c>
      <c r="D125" s="437">
        <v>102000</v>
      </c>
      <c r="E125" s="437">
        <v>140000</v>
      </c>
      <c r="F125" s="414"/>
      <c r="G125" s="414"/>
    </row>
    <row r="126" spans="1:7" ht="21.75" customHeight="1" hidden="1">
      <c r="A126" s="414"/>
      <c r="B126" s="414"/>
      <c r="C126" s="239" t="s">
        <v>384</v>
      </c>
      <c r="D126" s="38">
        <f>Finansiranje!C38</f>
        <v>837624.48</v>
      </c>
      <c r="E126" s="38">
        <f>Finansiranje!D38</f>
        <v>440000</v>
      </c>
      <c r="F126" s="414"/>
      <c r="G126" s="414"/>
    </row>
    <row r="127" spans="1:7" ht="17.25" customHeight="1" hidden="1">
      <c r="A127" s="414"/>
      <c r="B127" s="414"/>
      <c r="C127" s="440" t="s">
        <v>681</v>
      </c>
      <c r="D127" s="438">
        <f>D116+D119+D120+D126</f>
        <v>31400000</v>
      </c>
      <c r="E127" s="438">
        <f>E116+E119+E120+E126</f>
        <v>33700000</v>
      </c>
      <c r="F127" s="414"/>
      <c r="G127" s="414"/>
    </row>
    <row r="128" spans="1:7" ht="16.5" customHeight="1" hidden="1">
      <c r="A128" s="414"/>
      <c r="B128" s="414"/>
      <c r="C128" s="330"/>
      <c r="D128" s="415"/>
      <c r="E128" s="415"/>
      <c r="F128" s="418"/>
      <c r="G128" s="414"/>
    </row>
    <row r="129" spans="1:7" ht="18.75" customHeight="1" hidden="1">
      <c r="A129" s="414"/>
      <c r="B129" s="414"/>
      <c r="C129" s="330"/>
      <c r="D129" s="415"/>
      <c r="E129" s="415"/>
      <c r="F129" s="414"/>
      <c r="G129" s="414"/>
    </row>
    <row r="130" spans="1:7" ht="20.25" customHeight="1" hidden="1">
      <c r="A130" s="414"/>
      <c r="B130" s="414"/>
      <c r="C130" s="414"/>
      <c r="D130" s="414"/>
      <c r="E130" s="414"/>
      <c r="F130" s="414"/>
      <c r="G130" s="414"/>
    </row>
    <row r="131" spans="1:7" ht="16.5" customHeight="1" hidden="1">
      <c r="A131" s="414"/>
      <c r="B131" s="414"/>
      <c r="C131" s="416" t="s">
        <v>618</v>
      </c>
      <c r="D131" s="417">
        <f>D123-Finansiranje!C11</f>
        <v>-2470309.22</v>
      </c>
      <c r="E131" s="417">
        <f>E123-Finansiranje!D11</f>
        <v>-5184000</v>
      </c>
      <c r="F131" s="419">
        <f>E131/D131*100</f>
        <v>209.85227104483704</v>
      </c>
      <c r="G131" s="414"/>
    </row>
    <row r="132" ht="0.75" customHeight="1"/>
    <row r="133" spans="4:7" s="343" customFormat="1" ht="24.75" customHeight="1" hidden="1">
      <c r="D133" s="444"/>
      <c r="E133" s="444"/>
      <c r="F133" s="444"/>
      <c r="G133" s="444"/>
    </row>
    <row r="134" spans="4:7" s="343" customFormat="1" ht="12.75" hidden="1">
      <c r="D134" s="444"/>
      <c r="E134" s="445"/>
      <c r="F134" s="446"/>
      <c r="G134" s="444"/>
    </row>
    <row r="135" spans="4:7" s="343" customFormat="1" ht="12.75" hidden="1">
      <c r="D135" s="447"/>
      <c r="E135" s="445"/>
      <c r="F135" s="446"/>
      <c r="G135" s="444"/>
    </row>
    <row r="136" spans="4:7" s="343" customFormat="1" ht="12.75" hidden="1">
      <c r="D136" s="447"/>
      <c r="E136" s="445"/>
      <c r="F136" s="446"/>
      <c r="G136" s="444"/>
    </row>
    <row r="137" spans="4:7" s="343" customFormat="1" ht="12.75" hidden="1">
      <c r="D137" s="447"/>
      <c r="E137" s="447"/>
      <c r="F137" s="444"/>
      <c r="G137" s="444"/>
    </row>
    <row r="138" spans="4:7" s="343" customFormat="1" ht="12.75" hidden="1">
      <c r="D138" s="444"/>
      <c r="E138" s="444"/>
      <c r="F138" s="444"/>
      <c r="G138" s="444"/>
    </row>
    <row r="139" spans="4:7" s="343" customFormat="1" ht="12.75" hidden="1">
      <c r="D139" s="444"/>
      <c r="E139" s="445"/>
      <c r="F139" s="444"/>
      <c r="G139" s="444"/>
    </row>
    <row r="140" spans="4:7" s="343" customFormat="1" ht="12.75" hidden="1">
      <c r="D140" s="444"/>
      <c r="E140" s="445"/>
      <c r="F140" s="444"/>
      <c r="G140" s="444"/>
    </row>
    <row r="141" spans="4:7" s="343" customFormat="1" ht="12.75" hidden="1">
      <c r="D141" s="444"/>
      <c r="E141" s="445"/>
      <c r="F141" s="444"/>
      <c r="G141" s="444"/>
    </row>
    <row r="142" spans="4:7" s="343" customFormat="1" ht="12.75" hidden="1">
      <c r="D142" s="444"/>
      <c r="E142" s="447"/>
      <c r="F142" s="444"/>
      <c r="G142" s="444"/>
    </row>
    <row r="143" spans="4:7" s="343" customFormat="1" ht="12.75" hidden="1">
      <c r="D143" s="444"/>
      <c r="E143" s="444"/>
      <c r="F143" s="444"/>
      <c r="G143" s="444"/>
    </row>
    <row r="144" ht="12.75" hidden="1"/>
    <row r="160" spans="4:7" s="12" customFormat="1" ht="12.75">
      <c r="D160" s="391"/>
      <c r="E160" s="391"/>
      <c r="F160" s="391"/>
      <c r="G160" s="391"/>
    </row>
    <row r="161" spans="4:7" s="12" customFormat="1" ht="12.75">
      <c r="D161" s="391"/>
      <c r="E161" s="391"/>
      <c r="F161" s="391"/>
      <c r="G161" s="391"/>
    </row>
    <row r="162" spans="4:7" s="12" customFormat="1" ht="12.75">
      <c r="D162" s="391"/>
      <c r="E162" s="391"/>
      <c r="F162" s="391"/>
      <c r="G162" s="391"/>
    </row>
    <row r="163" spans="4:7" s="12" customFormat="1" ht="12.75">
      <c r="D163" s="391"/>
      <c r="E163" s="391"/>
      <c r="F163" s="391"/>
      <c r="G163" s="391"/>
    </row>
    <row r="164" spans="4:7" s="12" customFormat="1" ht="12.75">
      <c r="D164" s="391"/>
      <c r="E164" s="391"/>
      <c r="F164" s="391"/>
      <c r="G164" s="391"/>
    </row>
    <row r="165" spans="4:7" s="12" customFormat="1" ht="12.75">
      <c r="D165" s="391"/>
      <c r="E165" s="391"/>
      <c r="F165" s="391"/>
      <c r="G165" s="391"/>
    </row>
    <row r="166" spans="4:7" s="12" customFormat="1" ht="12.75">
      <c r="D166" s="391"/>
      <c r="E166" s="391"/>
      <c r="F166" s="391"/>
      <c r="G166" s="391"/>
    </row>
    <row r="167" spans="4:7" s="12" customFormat="1" ht="12.75">
      <c r="D167" s="391"/>
      <c r="E167" s="391"/>
      <c r="F167" s="391"/>
      <c r="G167" s="391"/>
    </row>
    <row r="168" spans="4:7" s="12" customFormat="1" ht="12.75">
      <c r="D168" s="391"/>
      <c r="E168" s="391"/>
      <c r="F168" s="391"/>
      <c r="G168" s="391"/>
    </row>
    <row r="169" spans="4:7" s="12" customFormat="1" ht="12.75">
      <c r="D169" s="391"/>
      <c r="E169" s="391"/>
      <c r="F169" s="391"/>
      <c r="G169" s="391"/>
    </row>
    <row r="170" spans="4:7" s="12" customFormat="1" ht="12.75">
      <c r="D170" s="391"/>
      <c r="E170" s="391"/>
      <c r="F170" s="391"/>
      <c r="G170" s="391"/>
    </row>
    <row r="171" spans="4:7" s="12" customFormat="1" ht="12.75">
      <c r="D171" s="391"/>
      <c r="E171" s="391"/>
      <c r="F171" s="391"/>
      <c r="G171" s="391"/>
    </row>
    <row r="172" spans="4:7" s="12" customFormat="1" ht="12.75">
      <c r="D172" s="391"/>
      <c r="E172" s="391"/>
      <c r="F172" s="391"/>
      <c r="G172" s="391"/>
    </row>
    <row r="173" spans="4:7" s="12" customFormat="1" ht="12.75">
      <c r="D173" s="391"/>
      <c r="E173" s="391"/>
      <c r="F173" s="391"/>
      <c r="G173" s="391"/>
    </row>
    <row r="174" spans="4:7" s="12" customFormat="1" ht="12.75">
      <c r="D174" s="391"/>
      <c r="E174" s="391"/>
      <c r="F174" s="391"/>
      <c r="G174" s="391"/>
    </row>
    <row r="175" spans="4:7" s="12" customFormat="1" ht="12.75">
      <c r="D175" s="391"/>
      <c r="E175" s="391"/>
      <c r="F175" s="391"/>
      <c r="G175" s="391"/>
    </row>
    <row r="176" spans="4:7" s="12" customFormat="1" ht="12.75">
      <c r="D176" s="391"/>
      <c r="E176" s="391"/>
      <c r="F176" s="391"/>
      <c r="G176" s="391"/>
    </row>
    <row r="177" spans="4:7" s="12" customFormat="1" ht="12.75">
      <c r="D177" s="391"/>
      <c r="E177" s="391"/>
      <c r="F177" s="391"/>
      <c r="G177" s="391"/>
    </row>
    <row r="178" spans="4:7" s="12" customFormat="1" ht="12.75">
      <c r="D178" s="391"/>
      <c r="E178" s="391"/>
      <c r="F178" s="391"/>
      <c r="G178" s="391"/>
    </row>
    <row r="179" spans="4:7" s="12" customFormat="1" ht="12.75">
      <c r="D179" s="391"/>
      <c r="E179" s="391"/>
      <c r="F179" s="391"/>
      <c r="G179" s="391"/>
    </row>
    <row r="180" spans="4:7" s="12" customFormat="1" ht="12.75">
      <c r="D180" s="391"/>
      <c r="E180" s="391"/>
      <c r="F180" s="391"/>
      <c r="G180" s="391"/>
    </row>
    <row r="181" spans="4:7" s="12" customFormat="1" ht="12.75">
      <c r="D181" s="391"/>
      <c r="E181" s="391"/>
      <c r="F181" s="391"/>
      <c r="G181" s="391"/>
    </row>
    <row r="182" spans="4:7" s="12" customFormat="1" ht="12.75">
      <c r="D182" s="391"/>
      <c r="E182" s="391"/>
      <c r="F182" s="391"/>
      <c r="G182" s="391"/>
    </row>
    <row r="183" spans="4:7" s="12" customFormat="1" ht="12.75">
      <c r="D183" s="391"/>
      <c r="E183" s="391"/>
      <c r="F183" s="391"/>
      <c r="G183" s="391"/>
    </row>
    <row r="184" spans="4:7" s="12" customFormat="1" ht="12.75">
      <c r="D184" s="391"/>
      <c r="E184" s="391"/>
      <c r="F184" s="391"/>
      <c r="G184" s="391"/>
    </row>
    <row r="185" spans="4:7" s="12" customFormat="1" ht="12.75">
      <c r="D185" s="391"/>
      <c r="E185" s="391"/>
      <c r="F185" s="391"/>
      <c r="G185" s="391"/>
    </row>
    <row r="186" spans="4:7" s="12" customFormat="1" ht="12.75">
      <c r="D186" s="391"/>
      <c r="E186" s="391"/>
      <c r="F186" s="391"/>
      <c r="G186" s="391"/>
    </row>
    <row r="187" spans="4:7" s="12" customFormat="1" ht="12.75">
      <c r="D187" s="391"/>
      <c r="E187" s="391"/>
      <c r="F187" s="391"/>
      <c r="G187" s="391"/>
    </row>
    <row r="188" spans="4:7" s="12" customFormat="1" ht="12.75">
      <c r="D188" s="391"/>
      <c r="E188" s="391"/>
      <c r="F188" s="391"/>
      <c r="G188" s="391"/>
    </row>
    <row r="189" spans="4:7" s="12" customFormat="1" ht="12.75">
      <c r="D189" s="391"/>
      <c r="E189" s="391"/>
      <c r="F189" s="391"/>
      <c r="G189" s="391"/>
    </row>
    <row r="190" spans="4:7" s="12" customFormat="1" ht="12.75">
      <c r="D190" s="391"/>
      <c r="E190" s="391"/>
      <c r="F190" s="391"/>
      <c r="G190" s="391"/>
    </row>
    <row r="191" spans="4:7" s="12" customFormat="1" ht="12.75">
      <c r="D191" s="391"/>
      <c r="E191" s="391"/>
      <c r="F191" s="391"/>
      <c r="G191" s="391"/>
    </row>
    <row r="192" spans="4:7" s="12" customFormat="1" ht="12.75">
      <c r="D192" s="391"/>
      <c r="E192" s="391"/>
      <c r="F192" s="391"/>
      <c r="G192" s="391"/>
    </row>
    <row r="193" spans="4:7" s="12" customFormat="1" ht="12.75">
      <c r="D193" s="391"/>
      <c r="E193" s="391"/>
      <c r="F193" s="391"/>
      <c r="G193" s="391"/>
    </row>
    <row r="194" spans="4:7" s="12" customFormat="1" ht="12.75">
      <c r="D194" s="391"/>
      <c r="E194" s="391"/>
      <c r="F194" s="391"/>
      <c r="G194" s="391"/>
    </row>
    <row r="195" spans="4:7" s="12" customFormat="1" ht="12.75">
      <c r="D195" s="391"/>
      <c r="E195" s="391"/>
      <c r="F195" s="391"/>
      <c r="G195" s="391"/>
    </row>
    <row r="196" spans="4:7" s="12" customFormat="1" ht="12.75">
      <c r="D196" s="391"/>
      <c r="E196" s="391"/>
      <c r="F196" s="391"/>
      <c r="G196" s="391"/>
    </row>
    <row r="197" spans="4:7" s="12" customFormat="1" ht="12.75">
      <c r="D197" s="391"/>
      <c r="E197" s="391"/>
      <c r="F197" s="391"/>
      <c r="G197" s="391"/>
    </row>
    <row r="198" spans="4:7" s="12" customFormat="1" ht="12.75">
      <c r="D198" s="391"/>
      <c r="E198" s="391"/>
      <c r="F198" s="391"/>
      <c r="G198" s="391"/>
    </row>
    <row r="199" spans="4:7" s="12" customFormat="1" ht="12.75">
      <c r="D199" s="391"/>
      <c r="E199" s="391"/>
      <c r="F199" s="391"/>
      <c r="G199" s="391"/>
    </row>
    <row r="200" spans="4:7" s="12" customFormat="1" ht="12.75">
      <c r="D200" s="391"/>
      <c r="E200" s="391"/>
      <c r="F200" s="391"/>
      <c r="G200" s="391"/>
    </row>
    <row r="201" spans="4:7" s="12" customFormat="1" ht="12.75">
      <c r="D201" s="391"/>
      <c r="E201" s="391"/>
      <c r="F201" s="391"/>
      <c r="G201" s="391"/>
    </row>
    <row r="202" spans="4:7" s="12" customFormat="1" ht="12.75">
      <c r="D202" s="391"/>
      <c r="E202" s="391"/>
      <c r="F202" s="391"/>
      <c r="G202" s="391"/>
    </row>
    <row r="203" spans="4:7" s="12" customFormat="1" ht="12.75">
      <c r="D203" s="391"/>
      <c r="E203" s="391"/>
      <c r="F203" s="391"/>
      <c r="G203" s="391"/>
    </row>
    <row r="204" spans="4:7" s="12" customFormat="1" ht="12.75">
      <c r="D204" s="391"/>
      <c r="E204" s="391"/>
      <c r="F204" s="391"/>
      <c r="G204" s="391"/>
    </row>
    <row r="205" spans="4:7" s="12" customFormat="1" ht="12.75">
      <c r="D205" s="391"/>
      <c r="E205" s="391"/>
      <c r="F205" s="391"/>
      <c r="G205" s="391"/>
    </row>
    <row r="206" spans="4:7" s="12" customFormat="1" ht="12.75">
      <c r="D206" s="391"/>
      <c r="E206" s="391"/>
      <c r="F206" s="391"/>
      <c r="G206" s="391"/>
    </row>
    <row r="207" spans="4:7" s="12" customFormat="1" ht="12.75">
      <c r="D207" s="391"/>
      <c r="E207" s="391"/>
      <c r="F207" s="391"/>
      <c r="G207" s="391"/>
    </row>
    <row r="208" spans="4:7" s="12" customFormat="1" ht="12.75">
      <c r="D208" s="391"/>
      <c r="E208" s="391"/>
      <c r="F208" s="391"/>
      <c r="G208" s="391"/>
    </row>
    <row r="209" spans="4:7" s="12" customFormat="1" ht="12.75">
      <c r="D209" s="391"/>
      <c r="E209" s="391"/>
      <c r="F209" s="391"/>
      <c r="G209" s="391"/>
    </row>
    <row r="210" spans="4:7" s="12" customFormat="1" ht="12.75">
      <c r="D210" s="391"/>
      <c r="E210" s="391"/>
      <c r="F210" s="391"/>
      <c r="G210" s="391"/>
    </row>
    <row r="211" spans="4:7" s="12" customFormat="1" ht="12.75">
      <c r="D211" s="391"/>
      <c r="E211" s="391"/>
      <c r="F211" s="391"/>
      <c r="G211" s="391"/>
    </row>
    <row r="212" spans="4:7" s="12" customFormat="1" ht="12.75">
      <c r="D212" s="391"/>
      <c r="E212" s="391"/>
      <c r="F212" s="391"/>
      <c r="G212" s="391"/>
    </row>
    <row r="213" spans="4:7" s="12" customFormat="1" ht="12.75">
      <c r="D213" s="391"/>
      <c r="E213" s="391"/>
      <c r="F213" s="391"/>
      <c r="G213" s="391"/>
    </row>
    <row r="214" spans="4:7" s="12" customFormat="1" ht="12.75">
      <c r="D214" s="391"/>
      <c r="E214" s="391"/>
      <c r="F214" s="391"/>
      <c r="G214" s="391"/>
    </row>
    <row r="215" spans="4:7" s="12" customFormat="1" ht="12.75">
      <c r="D215" s="391"/>
      <c r="E215" s="391"/>
      <c r="F215" s="391"/>
      <c r="G215" s="391"/>
    </row>
    <row r="216" spans="4:7" s="12" customFormat="1" ht="12.75">
      <c r="D216" s="391"/>
      <c r="E216" s="391"/>
      <c r="F216" s="391"/>
      <c r="G216" s="391"/>
    </row>
    <row r="217" spans="4:7" s="12" customFormat="1" ht="12.75">
      <c r="D217" s="391"/>
      <c r="E217" s="391"/>
      <c r="F217" s="391"/>
      <c r="G217" s="391"/>
    </row>
    <row r="218" spans="4:7" s="12" customFormat="1" ht="12.75">
      <c r="D218" s="391"/>
      <c r="E218" s="391"/>
      <c r="F218" s="391"/>
      <c r="G218" s="391"/>
    </row>
    <row r="219" spans="4:7" s="12" customFormat="1" ht="12.75">
      <c r="D219" s="391"/>
      <c r="E219" s="391"/>
      <c r="F219" s="391"/>
      <c r="G219" s="391"/>
    </row>
    <row r="220" spans="4:7" s="12" customFormat="1" ht="12.75">
      <c r="D220" s="391"/>
      <c r="E220" s="391"/>
      <c r="F220" s="391"/>
      <c r="G220" s="391"/>
    </row>
    <row r="221" spans="4:7" s="12" customFormat="1" ht="12.75">
      <c r="D221" s="391"/>
      <c r="E221" s="391"/>
      <c r="F221" s="391"/>
      <c r="G221" s="391"/>
    </row>
    <row r="222" spans="4:7" s="12" customFormat="1" ht="12.75">
      <c r="D222" s="391"/>
      <c r="E222" s="391"/>
      <c r="F222" s="391"/>
      <c r="G222" s="391"/>
    </row>
    <row r="223" spans="4:7" s="12" customFormat="1" ht="12.75">
      <c r="D223" s="391"/>
      <c r="E223" s="391"/>
      <c r="F223" s="391"/>
      <c r="G223" s="391"/>
    </row>
    <row r="224" spans="4:7" s="12" customFormat="1" ht="12.75">
      <c r="D224" s="391"/>
      <c r="E224" s="391"/>
      <c r="F224" s="391"/>
      <c r="G224" s="391"/>
    </row>
    <row r="225" spans="4:7" s="12" customFormat="1" ht="12.75">
      <c r="D225" s="391"/>
      <c r="E225" s="391"/>
      <c r="F225" s="391"/>
      <c r="G225" s="391"/>
    </row>
    <row r="226" spans="4:7" s="12" customFormat="1" ht="12.75">
      <c r="D226" s="391"/>
      <c r="E226" s="391"/>
      <c r="F226" s="391"/>
      <c r="G226" s="391"/>
    </row>
    <row r="227" spans="4:7" s="12" customFormat="1" ht="12.75">
      <c r="D227" s="391"/>
      <c r="E227" s="391"/>
      <c r="F227" s="391"/>
      <c r="G227" s="391"/>
    </row>
    <row r="228" spans="4:7" s="12" customFormat="1" ht="12.75">
      <c r="D228" s="391"/>
      <c r="E228" s="391"/>
      <c r="F228" s="391"/>
      <c r="G228" s="391"/>
    </row>
    <row r="229" spans="4:7" s="12" customFormat="1" ht="12.75">
      <c r="D229" s="391"/>
      <c r="E229" s="391"/>
      <c r="F229" s="391"/>
      <c r="G229" s="391"/>
    </row>
    <row r="230" spans="4:7" s="12" customFormat="1" ht="12.75">
      <c r="D230" s="391"/>
      <c r="E230" s="391"/>
      <c r="F230" s="391"/>
      <c r="G230" s="391"/>
    </row>
    <row r="231" spans="4:7" s="12" customFormat="1" ht="12.75">
      <c r="D231" s="391"/>
      <c r="E231" s="391"/>
      <c r="F231" s="391"/>
      <c r="G231" s="391"/>
    </row>
    <row r="232" spans="4:7" s="12" customFormat="1" ht="12.75">
      <c r="D232" s="391"/>
      <c r="E232" s="391"/>
      <c r="F232" s="391"/>
      <c r="G232" s="391"/>
    </row>
    <row r="233" spans="4:7" s="12" customFormat="1" ht="12.75">
      <c r="D233" s="391"/>
      <c r="E233" s="391"/>
      <c r="F233" s="391"/>
      <c r="G233" s="391"/>
    </row>
    <row r="234" spans="4:7" s="12" customFormat="1" ht="12.75">
      <c r="D234" s="391"/>
      <c r="E234" s="391"/>
      <c r="F234" s="391"/>
      <c r="G234" s="391"/>
    </row>
    <row r="235" spans="4:7" s="12" customFormat="1" ht="12.75">
      <c r="D235" s="391"/>
      <c r="E235" s="391"/>
      <c r="F235" s="391"/>
      <c r="G235" s="391"/>
    </row>
    <row r="236" spans="4:7" s="12" customFormat="1" ht="12.75">
      <c r="D236" s="391"/>
      <c r="E236" s="391"/>
      <c r="F236" s="391"/>
      <c r="G236" s="391"/>
    </row>
    <row r="237" spans="4:7" s="12" customFormat="1" ht="12.75">
      <c r="D237" s="391"/>
      <c r="E237" s="391"/>
      <c r="F237" s="391"/>
      <c r="G237" s="391"/>
    </row>
    <row r="238" spans="4:7" s="12" customFormat="1" ht="12.75">
      <c r="D238" s="391"/>
      <c r="E238" s="391"/>
      <c r="F238" s="391"/>
      <c r="G238" s="391"/>
    </row>
    <row r="239" spans="4:7" s="12" customFormat="1" ht="12.75">
      <c r="D239" s="391"/>
      <c r="E239" s="391"/>
      <c r="F239" s="391"/>
      <c r="G239" s="391"/>
    </row>
    <row r="240" spans="4:7" s="12" customFormat="1" ht="12.75">
      <c r="D240" s="391"/>
      <c r="E240" s="391"/>
      <c r="F240" s="391"/>
      <c r="G240" s="391"/>
    </row>
    <row r="241" spans="4:7" s="12" customFormat="1" ht="12.75">
      <c r="D241" s="391"/>
      <c r="E241" s="391"/>
      <c r="F241" s="391"/>
      <c r="G241" s="391"/>
    </row>
    <row r="242" spans="4:7" s="12" customFormat="1" ht="12.75">
      <c r="D242" s="391"/>
      <c r="E242" s="391"/>
      <c r="F242" s="391"/>
      <c r="G242" s="391"/>
    </row>
    <row r="243" spans="4:7" s="12" customFormat="1" ht="12.75">
      <c r="D243" s="391"/>
      <c r="E243" s="391"/>
      <c r="F243" s="391"/>
      <c r="G243" s="391"/>
    </row>
    <row r="244" spans="4:7" s="12" customFormat="1" ht="12.75">
      <c r="D244" s="391"/>
      <c r="E244" s="391"/>
      <c r="F244" s="391"/>
      <c r="G244" s="391"/>
    </row>
    <row r="245" spans="4:7" s="12" customFormat="1" ht="12.75">
      <c r="D245" s="391"/>
      <c r="E245" s="391"/>
      <c r="F245" s="391"/>
      <c r="G245" s="391"/>
    </row>
    <row r="246" spans="4:7" s="12" customFormat="1" ht="12.75">
      <c r="D246" s="391"/>
      <c r="E246" s="391"/>
      <c r="F246" s="391"/>
      <c r="G246" s="391"/>
    </row>
    <row r="247" spans="4:7" s="12" customFormat="1" ht="12.75">
      <c r="D247" s="391"/>
      <c r="E247" s="391"/>
      <c r="F247" s="391"/>
      <c r="G247" s="391"/>
    </row>
    <row r="248" spans="4:7" s="12" customFormat="1" ht="12.75">
      <c r="D248" s="391"/>
      <c r="E248" s="391"/>
      <c r="F248" s="391"/>
      <c r="G248" s="391"/>
    </row>
    <row r="249" spans="4:7" s="12" customFormat="1" ht="12.75">
      <c r="D249" s="391"/>
      <c r="E249" s="391"/>
      <c r="F249" s="391"/>
      <c r="G249" s="391"/>
    </row>
    <row r="250" spans="4:7" s="12" customFormat="1" ht="12.75">
      <c r="D250" s="391"/>
      <c r="E250" s="391"/>
      <c r="F250" s="391"/>
      <c r="G250" s="391"/>
    </row>
    <row r="251" spans="4:7" s="12" customFormat="1" ht="12.75">
      <c r="D251" s="391"/>
      <c r="E251" s="391"/>
      <c r="F251" s="391"/>
      <c r="G251" s="391"/>
    </row>
    <row r="252" spans="4:7" s="12" customFormat="1" ht="12.75">
      <c r="D252" s="391"/>
      <c r="E252" s="391"/>
      <c r="F252" s="391"/>
      <c r="G252" s="391"/>
    </row>
    <row r="253" spans="4:7" s="12" customFormat="1" ht="12.75">
      <c r="D253" s="391"/>
      <c r="E253" s="391"/>
      <c r="F253" s="391"/>
      <c r="G253" s="391"/>
    </row>
    <row r="254" spans="4:7" s="12" customFormat="1" ht="12.75">
      <c r="D254" s="391"/>
      <c r="E254" s="391"/>
      <c r="F254" s="391"/>
      <c r="G254" s="391"/>
    </row>
    <row r="255" spans="4:7" s="12" customFormat="1" ht="12.75">
      <c r="D255" s="391"/>
      <c r="E255" s="391"/>
      <c r="F255" s="391"/>
      <c r="G255" s="391"/>
    </row>
    <row r="256" spans="4:7" s="12" customFormat="1" ht="12.75">
      <c r="D256" s="391"/>
      <c r="E256" s="391"/>
      <c r="F256" s="391"/>
      <c r="G256" s="391"/>
    </row>
    <row r="257" spans="4:7" s="12" customFormat="1" ht="12.75">
      <c r="D257" s="391"/>
      <c r="E257" s="391"/>
      <c r="F257" s="391"/>
      <c r="G257" s="391"/>
    </row>
    <row r="258" spans="4:7" s="12" customFormat="1" ht="12.75">
      <c r="D258" s="391"/>
      <c r="E258" s="391"/>
      <c r="F258" s="391"/>
      <c r="G258" s="391"/>
    </row>
    <row r="259" spans="4:7" s="12" customFormat="1" ht="12.75">
      <c r="D259" s="391"/>
      <c r="E259" s="391"/>
      <c r="F259" s="391"/>
      <c r="G259" s="391"/>
    </row>
    <row r="260" spans="4:7" s="12" customFormat="1" ht="12.75">
      <c r="D260" s="391"/>
      <c r="E260" s="391"/>
      <c r="F260" s="391"/>
      <c r="G260" s="391"/>
    </row>
    <row r="261" spans="4:7" s="12" customFormat="1" ht="12.75">
      <c r="D261" s="391"/>
      <c r="E261" s="391"/>
      <c r="F261" s="391"/>
      <c r="G261" s="391"/>
    </row>
    <row r="262" spans="4:7" s="12" customFormat="1" ht="12.75">
      <c r="D262" s="391"/>
      <c r="E262" s="391"/>
      <c r="F262" s="391"/>
      <c r="G262" s="391"/>
    </row>
    <row r="263" spans="4:7" s="12" customFormat="1" ht="12.75">
      <c r="D263" s="391"/>
      <c r="E263" s="391"/>
      <c r="F263" s="391"/>
      <c r="G263" s="391"/>
    </row>
    <row r="264" spans="4:7" s="12" customFormat="1" ht="12.75">
      <c r="D264" s="391"/>
      <c r="E264" s="391"/>
      <c r="F264" s="391"/>
      <c r="G264" s="391"/>
    </row>
    <row r="265" spans="4:7" s="12" customFormat="1" ht="12.75">
      <c r="D265" s="391"/>
      <c r="E265" s="391"/>
      <c r="F265" s="391"/>
      <c r="G265" s="391"/>
    </row>
    <row r="266" spans="4:7" s="12" customFormat="1" ht="12.75">
      <c r="D266" s="391"/>
      <c r="E266" s="391"/>
      <c r="F266" s="391"/>
      <c r="G266" s="391"/>
    </row>
    <row r="267" spans="4:7" s="12" customFormat="1" ht="12.75">
      <c r="D267" s="391"/>
      <c r="E267" s="391"/>
      <c r="F267" s="391"/>
      <c r="G267" s="391"/>
    </row>
    <row r="268" spans="4:7" s="12" customFormat="1" ht="12.75">
      <c r="D268" s="391"/>
      <c r="E268" s="391"/>
      <c r="F268" s="391"/>
      <c r="G268" s="391"/>
    </row>
  </sheetData>
  <sheetProtection/>
  <mergeCells count="8">
    <mergeCell ref="D2:D3"/>
    <mergeCell ref="A1:G1"/>
    <mergeCell ref="A2:A3"/>
    <mergeCell ref="C2:C3"/>
    <mergeCell ref="B2:B3"/>
    <mergeCell ref="F2:F3"/>
    <mergeCell ref="G2:G3"/>
    <mergeCell ref="E2:E3"/>
  </mergeCells>
  <printOptions horizontalCentered="1"/>
  <pageMargins left="0.15748031496062992" right="0.15748031496062992" top="0.3937007874015748" bottom="0.4724409448818898" header="0.2362204724409449" footer="0.2362204724409449"/>
  <pageSetup horizontalDpi="600" verticalDpi="600" orientation="landscape" paperSize="9" scale="105" r:id="rId1"/>
  <headerFooter alignWithMargins="0">
    <oddFooter>&amp;R&amp;P</oddFooter>
  </headerFooter>
  <rowBreaks count="4" manualBreakCount="4">
    <brk id="37" max="6" man="1"/>
    <brk id="60" max="6" man="1"/>
    <brk id="82" max="6" man="1"/>
    <brk id="9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SheetLayoutView="70" workbookViewId="0" topLeftCell="A1">
      <selection activeCell="B71" sqref="B71"/>
    </sheetView>
  </sheetViews>
  <sheetFormatPr defaultColWidth="9.140625" defaultRowHeight="12.75" customHeight="1"/>
  <cols>
    <col min="1" max="1" width="8.8515625" style="0" customWidth="1"/>
    <col min="2" max="2" width="65.00390625" style="0" customWidth="1"/>
    <col min="3" max="4" width="16.421875" style="0" customWidth="1"/>
    <col min="5" max="5" width="11.140625" style="0" customWidth="1"/>
    <col min="6" max="6" width="10.57421875" style="0" customWidth="1"/>
  </cols>
  <sheetData>
    <row r="1" spans="1:6" ht="33.75" customHeight="1" thickBot="1">
      <c r="A1" s="472" t="s">
        <v>570</v>
      </c>
      <c r="B1" s="473"/>
      <c r="C1" s="473"/>
      <c r="D1" s="473"/>
      <c r="E1" s="473"/>
      <c r="F1" s="474"/>
    </row>
    <row r="2" spans="1:6" ht="36.75" customHeight="1" thickTop="1">
      <c r="A2" s="236" t="s">
        <v>54</v>
      </c>
      <c r="B2" s="249" t="s">
        <v>191</v>
      </c>
      <c r="C2" s="250" t="s">
        <v>634</v>
      </c>
      <c r="D2" s="250" t="s">
        <v>571</v>
      </c>
      <c r="E2" s="250" t="s">
        <v>105</v>
      </c>
      <c r="F2" s="251" t="s">
        <v>185</v>
      </c>
    </row>
    <row r="3" spans="1:6" ht="15.75" customHeight="1">
      <c r="A3" s="90">
        <v>1</v>
      </c>
      <c r="B3" s="91">
        <v>2</v>
      </c>
      <c r="C3" s="92">
        <v>3</v>
      </c>
      <c r="D3" s="92">
        <v>4</v>
      </c>
      <c r="E3" s="92" t="s">
        <v>542</v>
      </c>
      <c r="F3" s="89">
        <v>6</v>
      </c>
    </row>
    <row r="4" spans="1:6" ht="21" customHeight="1">
      <c r="A4" s="238"/>
      <c r="B4" s="252" t="s">
        <v>302</v>
      </c>
      <c r="C4" s="32">
        <f>C5+C38+C43</f>
        <v>23535271.29</v>
      </c>
      <c r="D4" s="32">
        <f>D5+D38+D43</f>
        <v>23809155</v>
      </c>
      <c r="E4" s="32">
        <f>IF(C4&gt;0,D4/C4*100,0)</f>
        <v>101.16371596751625</v>
      </c>
      <c r="F4" s="253">
        <f>D4/$D$56*100</f>
        <v>75.08771714042832</v>
      </c>
    </row>
    <row r="5" spans="1:6" ht="15.75" customHeight="1">
      <c r="A5" s="254">
        <v>410000</v>
      </c>
      <c r="B5" s="239" t="s">
        <v>308</v>
      </c>
      <c r="C5" s="38">
        <f>C6+C11+C21+C25+C27+C29+C32+C36</f>
        <v>23266630.89</v>
      </c>
      <c r="D5" s="38">
        <f>D6+D11+D21+D25+D27+D29+D32+D36</f>
        <v>23364655</v>
      </c>
      <c r="E5" s="38">
        <f aca="true" t="shared" si="0" ref="E5:E56">IF(C5&gt;0,D5/C5*100,0)</f>
        <v>100.4213077108733</v>
      </c>
      <c r="F5" s="162">
        <f aca="true" t="shared" si="1" ref="F5:F56">D5/$D$56*100</f>
        <v>73.68588283472026</v>
      </c>
    </row>
    <row r="6" spans="1:6" ht="15.75" customHeight="1">
      <c r="A6" s="255">
        <v>411000</v>
      </c>
      <c r="B6" s="256" t="s">
        <v>297</v>
      </c>
      <c r="C6" s="43">
        <f>SUM(C7:C10)</f>
        <v>10864600</v>
      </c>
      <c r="D6" s="43">
        <f>SUM(D7:D10)</f>
        <v>11053300</v>
      </c>
      <c r="E6" s="44">
        <f t="shared" si="0"/>
        <v>101.73683338549048</v>
      </c>
      <c r="F6" s="227">
        <f t="shared" si="1"/>
        <v>34.85915665080497</v>
      </c>
    </row>
    <row r="7" spans="1:6" ht="13.5" customHeight="1">
      <c r="A7" s="242">
        <v>411100</v>
      </c>
      <c r="B7" s="257" t="s">
        <v>293</v>
      </c>
      <c r="C7" s="100">
        <f>SUMIF(Org!$C$10:Org!$D$606,411100,Org!E$10:Org!E$607)</f>
        <v>9055800</v>
      </c>
      <c r="D7" s="100">
        <f>SUMIF(Org!$C$10:Org!$D$606,411100,Org!F$10:Org!F$607)</f>
        <v>9141000</v>
      </c>
      <c r="E7" s="100">
        <f t="shared" si="0"/>
        <v>100.94083349897302</v>
      </c>
      <c r="F7" s="301">
        <f t="shared" si="1"/>
        <v>28.828273089937685</v>
      </c>
    </row>
    <row r="8" spans="1:6" ht="25.5">
      <c r="A8" s="242">
        <v>411200</v>
      </c>
      <c r="B8" s="258" t="s">
        <v>298</v>
      </c>
      <c r="C8" s="100">
        <f>SUMIF(Org!$C$8:Org!$D$606,411200,Org!E$8:Org!E$608)</f>
        <v>1444500</v>
      </c>
      <c r="D8" s="100">
        <f>SUMIF(Org!$C$8:Org!$D$606,411200,Org!F$8:Org!F$608)</f>
        <v>1551500</v>
      </c>
      <c r="E8" s="100">
        <f t="shared" si="0"/>
        <v>107.40740740740742</v>
      </c>
      <c r="F8" s="301">
        <f t="shared" si="1"/>
        <v>4.8930167048504885</v>
      </c>
    </row>
    <row r="9" spans="1:6" ht="25.5">
      <c r="A9" s="242">
        <v>411300</v>
      </c>
      <c r="B9" s="258" t="s">
        <v>373</v>
      </c>
      <c r="C9" s="100">
        <f>SUMIF(Org!$C$10:Org!$D$606,411300,Org!E$10:Org!E$608)</f>
        <v>213500</v>
      </c>
      <c r="D9" s="100">
        <f>SUMIF(Org!$C$10:Org!$D$606,411300,Org!F$10:Org!F$608)</f>
        <v>196000</v>
      </c>
      <c r="E9" s="100">
        <f t="shared" si="0"/>
        <v>91.80327868852459</v>
      </c>
      <c r="F9" s="301">
        <f t="shared" si="1"/>
        <v>0.6181316623594559</v>
      </c>
    </row>
    <row r="10" spans="1:6" ht="14.25" customHeight="1">
      <c r="A10" s="242">
        <v>411400</v>
      </c>
      <c r="B10" s="257" t="s">
        <v>294</v>
      </c>
      <c r="C10" s="100">
        <f>SUMIF(Org!$C$10:Org!$D$606,411400,Org!E$10:Org!E$608)</f>
        <v>150800</v>
      </c>
      <c r="D10" s="100">
        <f>SUMIF(Org!$C$10:Org!$D$606,411400,Org!F$10:Org!F$608)</f>
        <v>164800</v>
      </c>
      <c r="E10" s="100">
        <f t="shared" si="0"/>
        <v>109.28381962864722</v>
      </c>
      <c r="F10" s="301">
        <f t="shared" si="1"/>
        <v>0.5197351936573384</v>
      </c>
    </row>
    <row r="11" spans="1:6" ht="15.75" customHeight="1">
      <c r="A11" s="255">
        <v>412000</v>
      </c>
      <c r="B11" s="259" t="s">
        <v>114</v>
      </c>
      <c r="C11" s="43">
        <f>SUM(C12:C20)</f>
        <v>4378198.370000001</v>
      </c>
      <c r="D11" s="43">
        <f>SUM(D12:D20)</f>
        <v>4426330</v>
      </c>
      <c r="E11" s="44">
        <f t="shared" si="0"/>
        <v>101.09934785800942</v>
      </c>
      <c r="F11" s="227">
        <f t="shared" si="1"/>
        <v>13.959462862507808</v>
      </c>
    </row>
    <row r="12" spans="1:6" ht="15" customHeight="1">
      <c r="A12" s="245">
        <v>412100</v>
      </c>
      <c r="B12" s="70" t="s">
        <v>115</v>
      </c>
      <c r="C12" s="76">
        <f>SUMIF(Org!$C$10:Org!$D$606,412100,Org!E$10:Org!E$607)</f>
        <v>68940</v>
      </c>
      <c r="D12" s="76">
        <f>SUMIF(Org!$C$10:Org!$D$606,412100,Org!F$10:Org!F$607)</f>
        <v>63500</v>
      </c>
      <c r="E12" s="100">
        <f t="shared" si="0"/>
        <v>92.1090803597331</v>
      </c>
      <c r="F12" s="301">
        <f t="shared" si="1"/>
        <v>0.2002620436725788</v>
      </c>
    </row>
    <row r="13" spans="1:6" ht="25.5">
      <c r="A13" s="245">
        <v>412200</v>
      </c>
      <c r="B13" s="70" t="s">
        <v>116</v>
      </c>
      <c r="C13" s="76">
        <f>SUMIF(Org!$C$10:Org!$D$606,412200,Org!E$10:Org!E$607)</f>
        <v>1104933.84</v>
      </c>
      <c r="D13" s="76">
        <f>SUMIF(Org!$C$10:Org!$D$606,412200,Org!F$10:Org!F$607)</f>
        <v>1128200</v>
      </c>
      <c r="E13" s="100">
        <f t="shared" si="0"/>
        <v>102.10566091450326</v>
      </c>
      <c r="F13" s="301">
        <f t="shared" si="1"/>
        <v>3.558041538132337</v>
      </c>
    </row>
    <row r="14" spans="1:6" ht="12.75">
      <c r="A14" s="245">
        <v>412300</v>
      </c>
      <c r="B14" s="109" t="s">
        <v>117</v>
      </c>
      <c r="C14" s="76">
        <f>SUMIF(Org!$C$10:Org!$D$606,412300,Org!E$10:Org!E$607)</f>
        <v>94328</v>
      </c>
      <c r="D14" s="76">
        <f>SUMIF(Org!$C$10:Org!$D$606,412300,Org!F$10:Org!F$607)</f>
        <v>93300</v>
      </c>
      <c r="E14" s="100">
        <f t="shared" si="0"/>
        <v>98.91018573488253</v>
      </c>
      <c r="F14" s="301">
        <f t="shared" si="1"/>
        <v>0.2942432862149859</v>
      </c>
    </row>
    <row r="15" spans="1:6" ht="14.25" customHeight="1">
      <c r="A15" s="245">
        <v>412400</v>
      </c>
      <c r="B15" s="109" t="s">
        <v>118</v>
      </c>
      <c r="C15" s="76">
        <f>SUMIF(Org!$C$10:Org!$D$606,412400,Org!E$10:Org!E$607)</f>
        <v>96134.35</v>
      </c>
      <c r="D15" s="76">
        <f>SUMIF(Org!$C$10:Org!$D$606,412400,Org!F$10:Org!F$607)</f>
        <v>93500</v>
      </c>
      <c r="E15" s="100">
        <f t="shared" si="0"/>
        <v>97.25972038090443</v>
      </c>
      <c r="F15" s="301">
        <f t="shared" si="1"/>
        <v>0.2948740328092302</v>
      </c>
    </row>
    <row r="16" spans="1:6" ht="13.5" customHeight="1">
      <c r="A16" s="245">
        <v>412500</v>
      </c>
      <c r="B16" s="109" t="s">
        <v>119</v>
      </c>
      <c r="C16" s="76">
        <f>SUMIF(Org!$C$10:Org!$D$606,412500,Org!E$10:Org!E$607)</f>
        <v>469696.58</v>
      </c>
      <c r="D16" s="76">
        <f>SUMIF(Org!$C$10:Org!$D$606,412500,Org!F$10:Org!F$607)</f>
        <v>591000</v>
      </c>
      <c r="E16" s="100">
        <f t="shared" si="0"/>
        <v>125.8259108465299</v>
      </c>
      <c r="F16" s="301">
        <f t="shared" si="1"/>
        <v>1.8638561859920326</v>
      </c>
    </row>
    <row r="17" spans="1:6" ht="12.75" customHeight="1">
      <c r="A17" s="245">
        <v>412600</v>
      </c>
      <c r="B17" s="109" t="s">
        <v>120</v>
      </c>
      <c r="C17" s="76">
        <f>SUMIF(Org!$C$10:Org!$D$606,412600,Org!E$10:Org!E$607)</f>
        <v>15000</v>
      </c>
      <c r="D17" s="76">
        <f>SUMIF(Org!$C$10:Org!$D$606,412600,Org!F$10:Org!F$607)</f>
        <v>16900</v>
      </c>
      <c r="E17" s="100">
        <f t="shared" si="0"/>
        <v>112.66666666666667</v>
      </c>
      <c r="F17" s="301">
        <f t="shared" si="1"/>
        <v>0.053298087213646955</v>
      </c>
    </row>
    <row r="18" spans="1:6" ht="12.75" customHeight="1">
      <c r="A18" s="245">
        <v>412700</v>
      </c>
      <c r="B18" s="70" t="s">
        <v>121</v>
      </c>
      <c r="C18" s="76">
        <f>SUMIF(Org!$C$10:Org!$D$606,412700,Org!E$10:Org!E$607)</f>
        <v>505510</v>
      </c>
      <c r="D18" s="76">
        <f>SUMIF(Org!$C$10:Org!$D$606,412700,Org!F$10:Org!F$607)</f>
        <v>527900</v>
      </c>
      <c r="E18" s="100">
        <f t="shared" si="0"/>
        <v>104.42919032264446</v>
      </c>
      <c r="F18" s="301">
        <f t="shared" si="1"/>
        <v>1.6648556355079427</v>
      </c>
    </row>
    <row r="19" spans="1:6" ht="13.5" customHeight="1">
      <c r="A19" s="241">
        <v>412800</v>
      </c>
      <c r="B19" s="75" t="s">
        <v>122</v>
      </c>
      <c r="C19" s="76">
        <f>SUMIF(Org!$C$10:Org!$D$606,412800,Org!E$10:Org!E$607)</f>
        <v>930600</v>
      </c>
      <c r="D19" s="76">
        <f>SUMIF(Org!$C$10:Org!$D$606,412800,Org!F$10:Org!F$607)</f>
        <v>742000</v>
      </c>
      <c r="E19" s="100">
        <f t="shared" si="0"/>
        <v>79.73350526542016</v>
      </c>
      <c r="F19" s="301">
        <f t="shared" si="1"/>
        <v>2.3400698646465115</v>
      </c>
    </row>
    <row r="20" spans="1:6" ht="12.75" customHeight="1">
      <c r="A20" s="241">
        <v>412900</v>
      </c>
      <c r="B20" s="180" t="s">
        <v>299</v>
      </c>
      <c r="C20" s="76">
        <f>SUMIF(Org!$C$10:Org!$D$606,412900,Org!E$10:Org!E$607)</f>
        <v>1093055.6</v>
      </c>
      <c r="D20" s="76">
        <f>SUMIF(Org!$C$10:Org!$D$606,412900,Org!F$10:Org!F$607)</f>
        <v>1170030</v>
      </c>
      <c r="E20" s="100">
        <f t="shared" si="0"/>
        <v>107.04213033627931</v>
      </c>
      <c r="F20" s="301">
        <f t="shared" si="1"/>
        <v>3.6899621883185416</v>
      </c>
    </row>
    <row r="21" spans="1:6" ht="15.75" customHeight="1">
      <c r="A21" s="255">
        <v>413000</v>
      </c>
      <c r="B21" s="260" t="s">
        <v>124</v>
      </c>
      <c r="C21" s="261">
        <f>SUM(C22:C24)</f>
        <v>255000</v>
      </c>
      <c r="D21" s="261">
        <f>SUM(D22:D24)</f>
        <v>294000</v>
      </c>
      <c r="E21" s="44">
        <f t="shared" si="0"/>
        <v>115.29411764705881</v>
      </c>
      <c r="F21" s="227">
        <f t="shared" si="1"/>
        <v>0.9271974935391838</v>
      </c>
    </row>
    <row r="22" spans="1:6" ht="12" customHeight="1">
      <c r="A22" s="242">
        <v>413300</v>
      </c>
      <c r="B22" s="70" t="s">
        <v>125</v>
      </c>
      <c r="C22" s="243">
        <f>SUMIF(Org!$C$10:Org!$D$606,413300,Org!E$10:Org!E$607)</f>
        <v>125000</v>
      </c>
      <c r="D22" s="243">
        <f>SUMIF(Org!$C$10:Org!$D$606,413300,Org!F$10:Org!F$607)</f>
        <v>194000</v>
      </c>
      <c r="E22" s="100">
        <f t="shared" si="0"/>
        <v>155.20000000000002</v>
      </c>
      <c r="F22" s="301">
        <f t="shared" si="1"/>
        <v>0.6118241964170125</v>
      </c>
    </row>
    <row r="23" spans="1:6" ht="12.75" customHeight="1" hidden="1">
      <c r="A23" s="242">
        <v>413400</v>
      </c>
      <c r="B23" s="70" t="s">
        <v>126</v>
      </c>
      <c r="C23" s="243"/>
      <c r="D23" s="243"/>
      <c r="E23" s="100">
        <f t="shared" si="0"/>
        <v>0</v>
      </c>
      <c r="F23" s="301">
        <f t="shared" si="1"/>
        <v>0</v>
      </c>
    </row>
    <row r="24" spans="1:6" ht="12" customHeight="1">
      <c r="A24" s="242">
        <v>413700</v>
      </c>
      <c r="B24" s="70" t="s">
        <v>127</v>
      </c>
      <c r="C24" s="243">
        <f>SUMIF(Org!$C$10:Org!$D$606,413700,Org!E$10:Org!E$607)</f>
        <v>130000</v>
      </c>
      <c r="D24" s="243">
        <f>SUMIF(Org!$C$10:Org!$D$606,413700,Org!F$10:Org!F$607)</f>
        <v>100000</v>
      </c>
      <c r="E24" s="100">
        <f t="shared" si="0"/>
        <v>76.92307692307693</v>
      </c>
      <c r="F24" s="301">
        <f t="shared" si="1"/>
        <v>0.3153732971221713</v>
      </c>
    </row>
    <row r="25" spans="1:6" ht="13.5" customHeight="1">
      <c r="A25" s="255">
        <v>414000</v>
      </c>
      <c r="B25" s="256" t="s">
        <v>165</v>
      </c>
      <c r="C25" s="43">
        <f>SUM(C26)</f>
        <v>550000</v>
      </c>
      <c r="D25" s="43">
        <f>SUM(D26)</f>
        <v>550000</v>
      </c>
      <c r="E25" s="44">
        <f t="shared" si="0"/>
        <v>100</v>
      </c>
      <c r="F25" s="227">
        <f t="shared" si="1"/>
        <v>1.7345531341719425</v>
      </c>
    </row>
    <row r="26" spans="1:6" ht="15" customHeight="1">
      <c r="A26" s="242">
        <v>414100</v>
      </c>
      <c r="B26" s="70" t="s">
        <v>165</v>
      </c>
      <c r="C26" s="243">
        <f>SUMIF(Org!$C$10:Org!$D$606,414100,Org!E$10:Org!E$607)</f>
        <v>550000</v>
      </c>
      <c r="D26" s="243">
        <f>SUMIF(Org!$C$10:Org!$D$606,414100,Org!F$10:Org!F$607)</f>
        <v>550000</v>
      </c>
      <c r="E26" s="100">
        <f t="shared" si="0"/>
        <v>100</v>
      </c>
      <c r="F26" s="301">
        <f t="shared" si="1"/>
        <v>1.7345531341719425</v>
      </c>
    </row>
    <row r="27" spans="1:6" ht="14.25" customHeight="1">
      <c r="A27" s="255">
        <v>415000</v>
      </c>
      <c r="B27" s="259" t="s">
        <v>128</v>
      </c>
      <c r="C27" s="43">
        <f>SUM(C28)</f>
        <v>1942254.2899999998</v>
      </c>
      <c r="D27" s="43">
        <f>SUM(D28)</f>
        <v>1675725</v>
      </c>
      <c r="E27" s="44">
        <f t="shared" si="0"/>
        <v>86.2773226259678</v>
      </c>
      <c r="F27" s="227">
        <f t="shared" si="1"/>
        <v>5.284789183200506</v>
      </c>
    </row>
    <row r="28" spans="1:6" ht="15" customHeight="1">
      <c r="A28" s="241">
        <v>415200</v>
      </c>
      <c r="B28" s="180" t="s">
        <v>129</v>
      </c>
      <c r="C28" s="76">
        <f>SUMIF(Org!$C$10:Org!$D$606,415200,Org!E$10:Org!E$607)</f>
        <v>1942254.2899999998</v>
      </c>
      <c r="D28" s="76">
        <f>SUMIF(Org!$C$10:Org!$D$606,415200,Org!F$10:Org!F$607)</f>
        <v>1675725</v>
      </c>
      <c r="E28" s="100">
        <f t="shared" si="0"/>
        <v>86.2773226259678</v>
      </c>
      <c r="F28" s="301">
        <f t="shared" si="1"/>
        <v>5.284789183200506</v>
      </c>
    </row>
    <row r="29" spans="1:6" ht="15" customHeight="1">
      <c r="A29" s="255">
        <v>416000</v>
      </c>
      <c r="B29" s="260" t="s">
        <v>574</v>
      </c>
      <c r="C29" s="43">
        <f>SUM(C30:C31)</f>
        <v>5001063.23</v>
      </c>
      <c r="D29" s="43">
        <f>SUM(D30:D31)</f>
        <v>5060400</v>
      </c>
      <c r="E29" s="44">
        <f t="shared" si="0"/>
        <v>101.1864830991149</v>
      </c>
      <c r="F29" s="227">
        <f t="shared" si="1"/>
        <v>15.95915032757036</v>
      </c>
    </row>
    <row r="30" spans="1:6" ht="12.75">
      <c r="A30" s="242">
        <v>416100</v>
      </c>
      <c r="B30" s="70" t="s">
        <v>572</v>
      </c>
      <c r="C30" s="76">
        <f>SUMIF(Org!$C$10:Org!$D$606,416100,Org!E$10:Org!E$607)</f>
        <v>4413063.23</v>
      </c>
      <c r="D30" s="76">
        <f>SUMIF(Org!$C$10:Org!$D$606,416100,Org!F$10:Org!F$607)</f>
        <v>4456000</v>
      </c>
      <c r="E30" s="100">
        <f t="shared" si="0"/>
        <v>100.97294708374254</v>
      </c>
      <c r="F30" s="301">
        <f t="shared" si="1"/>
        <v>14.053034119763955</v>
      </c>
    </row>
    <row r="31" spans="1:6" ht="14.25" customHeight="1">
      <c r="A31" s="242">
        <v>416300</v>
      </c>
      <c r="B31" s="70" t="s">
        <v>573</v>
      </c>
      <c r="C31" s="76">
        <f>SUMIF(Org!$C$10:Org!$D$606,416300,Org!E$10:Org!E$607)</f>
        <v>588000</v>
      </c>
      <c r="D31" s="76">
        <f>SUMIF(Org!$C$10:Org!$D$606,416300,Org!F$10:Org!F$607)</f>
        <v>604400</v>
      </c>
      <c r="E31" s="100">
        <f t="shared" si="0"/>
        <v>102.7891156462585</v>
      </c>
      <c r="F31" s="301">
        <f t="shared" si="1"/>
        <v>1.9061162078064038</v>
      </c>
    </row>
    <row r="32" spans="1:6" ht="27" customHeight="1">
      <c r="A32" s="255">
        <v>418000</v>
      </c>
      <c r="B32" s="256" t="s">
        <v>374</v>
      </c>
      <c r="C32" s="43">
        <f>SUM(C33:C35)</f>
        <v>89015</v>
      </c>
      <c r="D32" s="43">
        <f>SUM(D33:D35)</f>
        <v>142400</v>
      </c>
      <c r="E32" s="44">
        <f t="shared" si="0"/>
        <v>159.97303825198</v>
      </c>
      <c r="F32" s="227">
        <f t="shared" si="1"/>
        <v>0.449091575101972</v>
      </c>
    </row>
    <row r="33" spans="1:6" ht="12.75">
      <c r="A33" s="242">
        <v>418100</v>
      </c>
      <c r="B33" s="70" t="s">
        <v>360</v>
      </c>
      <c r="C33" s="76">
        <f>SUMIF(Org!$C$10:Org!$D$606,418100,Org!E$10:Org!E$607)</f>
        <v>3400</v>
      </c>
      <c r="D33" s="76">
        <f>SUMIF(Org!$C$10:Org!$D$606,418100,Org!F$10:Org!F$607)</f>
        <v>53000</v>
      </c>
      <c r="E33" s="100">
        <f t="shared" si="0"/>
        <v>1558.8235294117646</v>
      </c>
      <c r="F33" s="301">
        <f t="shared" si="1"/>
        <v>0.1671478474747508</v>
      </c>
    </row>
    <row r="34" spans="1:6" ht="12.75">
      <c r="A34" s="242">
        <v>418200</v>
      </c>
      <c r="B34" s="70" t="s">
        <v>585</v>
      </c>
      <c r="C34" s="76">
        <f>SUMIF(Org!$C$10:Org!$D$606,418200,Org!E$10:Org!E$607)</f>
        <v>33820</v>
      </c>
      <c r="D34" s="76">
        <f>SUMIF(Org!$C$10:Org!$D$606,418200,Org!F$10:Org!F$607)</f>
        <v>37000</v>
      </c>
      <c r="E34" s="100">
        <f t="shared" si="0"/>
        <v>109.40272028385571</v>
      </c>
      <c r="F34" s="301">
        <f t="shared" si="1"/>
        <v>0.11668811993520341</v>
      </c>
    </row>
    <row r="35" spans="1:6" ht="12.75">
      <c r="A35" s="326">
        <v>418400</v>
      </c>
      <c r="B35" s="70" t="s">
        <v>470</v>
      </c>
      <c r="C35" s="76">
        <f>SUMIF(Org!$C$10:Org!$D$606,418400,Org!E$10:Org!E$607)</f>
        <v>51795</v>
      </c>
      <c r="D35" s="76">
        <f>SUMIF(Org!$C$10:Org!$D$606,418400,Org!F$10:Org!F$607)</f>
        <v>52400</v>
      </c>
      <c r="E35" s="100">
        <f t="shared" si="0"/>
        <v>101.16806641567719</v>
      </c>
      <c r="F35" s="301">
        <f t="shared" si="1"/>
        <v>0.16525560769201778</v>
      </c>
    </row>
    <row r="36" spans="1:6" ht="16.5" customHeight="1">
      <c r="A36" s="255">
        <v>419000</v>
      </c>
      <c r="B36" s="256" t="s">
        <v>281</v>
      </c>
      <c r="C36" s="43">
        <f>SUM(C37)</f>
        <v>186500</v>
      </c>
      <c r="D36" s="43">
        <f>SUM(D37)</f>
        <v>162500</v>
      </c>
      <c r="E36" s="44">
        <f t="shared" si="0"/>
        <v>87.1313672922252</v>
      </c>
      <c r="F36" s="227">
        <f t="shared" si="1"/>
        <v>0.5124816078235285</v>
      </c>
    </row>
    <row r="37" spans="1:6" ht="12.75">
      <c r="A37" s="242">
        <v>419100</v>
      </c>
      <c r="B37" s="70" t="s">
        <v>281</v>
      </c>
      <c r="C37" s="76">
        <f>SUMIF(Org!$C$10:Org!$D$606,419100,Org!E$10:Org!E$607)</f>
        <v>186500</v>
      </c>
      <c r="D37" s="76">
        <f>SUMIF(Org!$C$10:Org!$D$606,419100,Org!F$10:Org!F$607)</f>
        <v>162500</v>
      </c>
      <c r="E37" s="100">
        <f t="shared" si="0"/>
        <v>87.1313672922252</v>
      </c>
      <c r="F37" s="301">
        <f t="shared" si="1"/>
        <v>0.5124816078235285</v>
      </c>
    </row>
    <row r="38" spans="1:6" ht="17.25" customHeight="1">
      <c r="A38" s="254">
        <v>480000</v>
      </c>
      <c r="B38" s="239" t="s">
        <v>301</v>
      </c>
      <c r="C38" s="38">
        <f>SUM(C39:C42)</f>
        <v>238640.4</v>
      </c>
      <c r="D38" s="38">
        <f>SUM(D39:D42)</f>
        <v>240000</v>
      </c>
      <c r="E38" s="38">
        <f t="shared" si="0"/>
        <v>100.56972750632332</v>
      </c>
      <c r="F38" s="162">
        <f t="shared" si="1"/>
        <v>0.7568959130932112</v>
      </c>
    </row>
    <row r="39" spans="1:6" ht="12.75">
      <c r="A39" s="262">
        <v>487200</v>
      </c>
      <c r="B39" s="143" t="s">
        <v>325</v>
      </c>
      <c r="C39" s="76">
        <f>SUMIF(Org!$C$10:Org!$D$606,487200,Org!E$10:Org!E$607)</f>
        <v>6000</v>
      </c>
      <c r="D39" s="76">
        <f>SUMIF(Org!$C$10:Org!$D$606,487200,Org!F$10:Org!F$607)</f>
        <v>10000</v>
      </c>
      <c r="E39" s="100">
        <f t="shared" si="0"/>
        <v>166.66666666666669</v>
      </c>
      <c r="F39" s="301">
        <f t="shared" si="1"/>
        <v>0.031537329712217135</v>
      </c>
    </row>
    <row r="40" spans="1:6" ht="12.75">
      <c r="A40" s="262">
        <v>487300</v>
      </c>
      <c r="B40" s="143" t="s">
        <v>322</v>
      </c>
      <c r="C40" s="76">
        <f>SUMIF(Org!$C$10:Org!$D$606,487300,Org!E$10:Org!E$607)</f>
        <v>5000</v>
      </c>
      <c r="D40" s="76">
        <f>SUMIF(Org!$C$10:Org!$D$606,487300,Org!F$10:Org!F$607)</f>
        <v>10000</v>
      </c>
      <c r="E40" s="100">
        <f t="shared" si="0"/>
        <v>200</v>
      </c>
      <c r="F40" s="301">
        <f t="shared" si="1"/>
        <v>0.031537329712217135</v>
      </c>
    </row>
    <row r="41" spans="1:6" ht="12.75">
      <c r="A41" s="242">
        <v>487400</v>
      </c>
      <c r="B41" s="70" t="s">
        <v>300</v>
      </c>
      <c r="C41" s="76">
        <f>SUMIF(Org!$C$10:Org!$D$606,487400,Org!E$10:Org!E$607)</f>
        <v>184000</v>
      </c>
      <c r="D41" s="76">
        <f>SUMIF(Org!$C$10:Org!$D$606,487400,Org!F$10:Org!F$607)</f>
        <v>196000</v>
      </c>
      <c r="E41" s="100">
        <f t="shared" si="0"/>
        <v>106.5217391304348</v>
      </c>
      <c r="F41" s="301">
        <f t="shared" si="1"/>
        <v>0.6181316623594559</v>
      </c>
    </row>
    <row r="42" spans="1:6" ht="12.75">
      <c r="A42" s="242">
        <v>487900</v>
      </c>
      <c r="B42" s="70" t="s">
        <v>312</v>
      </c>
      <c r="C42" s="76">
        <f>SUMIF(Org!$C$10:Org!$D$606,487900,Org!E$10:Org!E$607)</f>
        <v>43640.4</v>
      </c>
      <c r="D42" s="76">
        <f>SUMIF(Org!$C$10:Org!$D$606,487900,Org!F$10:Org!F$607)</f>
        <v>24000</v>
      </c>
      <c r="E42" s="100">
        <f t="shared" si="0"/>
        <v>54.994912970550224</v>
      </c>
      <c r="F42" s="301">
        <f t="shared" si="1"/>
        <v>0.07568959130932112</v>
      </c>
    </row>
    <row r="43" spans="1:6" ht="19.5" customHeight="1">
      <c r="A43" s="254" t="s">
        <v>181</v>
      </c>
      <c r="B43" s="263" t="s">
        <v>283</v>
      </c>
      <c r="C43" s="38">
        <f>Org!E607</f>
        <v>30000</v>
      </c>
      <c r="D43" s="38">
        <f>Org!F607</f>
        <v>204500</v>
      </c>
      <c r="E43" s="38">
        <f t="shared" si="0"/>
        <v>681.6666666666666</v>
      </c>
      <c r="F43" s="162">
        <f t="shared" si="1"/>
        <v>0.6449383926148404</v>
      </c>
    </row>
    <row r="44" spans="1:6" ht="17.25" customHeight="1">
      <c r="A44" s="264">
        <v>510000</v>
      </c>
      <c r="B44" s="80" t="s">
        <v>309</v>
      </c>
      <c r="C44" s="32">
        <f>C45+C51+C54</f>
        <v>6015821.62</v>
      </c>
      <c r="D44" s="32">
        <f>D45+D51+D54</f>
        <v>7899300</v>
      </c>
      <c r="E44" s="32">
        <f t="shared" si="0"/>
        <v>131.30874714998612</v>
      </c>
      <c r="F44" s="253">
        <f t="shared" si="1"/>
        <v>24.912282859571683</v>
      </c>
    </row>
    <row r="45" spans="1:6" ht="15.75" customHeight="1">
      <c r="A45" s="255">
        <v>511000</v>
      </c>
      <c r="B45" s="259" t="s">
        <v>130</v>
      </c>
      <c r="C45" s="43">
        <f>SUM(C46:C50)</f>
        <v>5479468.14</v>
      </c>
      <c r="D45" s="43">
        <f>SUM(D46:D50)</f>
        <v>7208000</v>
      </c>
      <c r="E45" s="44">
        <f t="shared" si="0"/>
        <v>131.5456138412733</v>
      </c>
      <c r="F45" s="227">
        <f t="shared" si="1"/>
        <v>22.73210725656611</v>
      </c>
    </row>
    <row r="46" spans="1:6" ht="12.75" customHeight="1">
      <c r="A46" s="241">
        <v>511100</v>
      </c>
      <c r="B46" s="102" t="s">
        <v>131</v>
      </c>
      <c r="C46" s="243">
        <f>SUMIF(Org!$C$10:Org!$D$606,511100,Org!E$10:Org!E$606)</f>
        <v>10000</v>
      </c>
      <c r="D46" s="243">
        <f>SUMIF(Org!$C$10:Org!$D$606,511100,Org!F$10:Org!F$606)</f>
        <v>130000</v>
      </c>
      <c r="E46" s="100">
        <f t="shared" si="0"/>
        <v>1300</v>
      </c>
      <c r="F46" s="301">
        <f t="shared" si="1"/>
        <v>0.40998528625882275</v>
      </c>
    </row>
    <row r="47" spans="1:6" ht="27" customHeight="1">
      <c r="A47" s="242">
        <v>511200</v>
      </c>
      <c r="B47" s="70" t="s">
        <v>132</v>
      </c>
      <c r="C47" s="243">
        <f>SUMIF(Org!$C$10:Org!$D$606,511200,Org!E$10:Org!E$606)</f>
        <v>4670548.14</v>
      </c>
      <c r="D47" s="243">
        <f>SUMIF(Org!$C$10:Org!$D$606,511200,Org!F$10:Org!F$606)</f>
        <v>6191000</v>
      </c>
      <c r="E47" s="100">
        <f t="shared" si="0"/>
        <v>132.55403465341436</v>
      </c>
      <c r="F47" s="301">
        <f t="shared" si="1"/>
        <v>19.524760824833628</v>
      </c>
    </row>
    <row r="48" spans="1:6" ht="12.75" customHeight="1">
      <c r="A48" s="242">
        <v>511300</v>
      </c>
      <c r="B48" s="109" t="s">
        <v>133</v>
      </c>
      <c r="C48" s="243">
        <f>SUMIF(Org!$C$10:Org!$D$606,511300,Org!E$10:Org!E$606)</f>
        <v>788920</v>
      </c>
      <c r="D48" s="243">
        <f>SUMIF(Org!$C$10:Org!$D$606,511300,Org!F$10:Org!F$606)</f>
        <v>885000</v>
      </c>
      <c r="E48" s="100">
        <f t="shared" si="0"/>
        <v>112.17867464381686</v>
      </c>
      <c r="F48" s="301">
        <f t="shared" si="1"/>
        <v>2.791053679531217</v>
      </c>
    </row>
    <row r="49" spans="1:6" ht="12.75" customHeight="1">
      <c r="A49" s="242">
        <v>511400</v>
      </c>
      <c r="B49" s="109" t="s">
        <v>213</v>
      </c>
      <c r="C49" s="243">
        <f>SUMIF(Org!$C$10:Org!$D$606,511400,Org!E$10:Org!E$606)</f>
        <v>10000</v>
      </c>
      <c r="D49" s="243">
        <f>SUMIF(Org!$C$10:Org!$D$606,511400,Org!F$10:Org!F$606)</f>
        <v>2000</v>
      </c>
      <c r="E49" s="100">
        <f t="shared" si="0"/>
        <v>20</v>
      </c>
      <c r="F49" s="301">
        <f t="shared" si="1"/>
        <v>0.006307465942443427</v>
      </c>
    </row>
    <row r="50" spans="1:6" ht="12.75" customHeight="1" hidden="1">
      <c r="A50" s="242">
        <v>511700</v>
      </c>
      <c r="B50" s="109" t="s">
        <v>448</v>
      </c>
      <c r="C50" s="243">
        <f>SUMIF(Org!$C$10:Org!$D$606,511700,Org!E$10:Org!E$606)</f>
        <v>0</v>
      </c>
      <c r="D50" s="243">
        <f>SUMIF(Org!$C$10:Org!$D$606,511700,Org!F$10:Org!F$606)</f>
        <v>0</v>
      </c>
      <c r="E50" s="100">
        <f t="shared" si="0"/>
        <v>0</v>
      </c>
      <c r="F50" s="301">
        <f t="shared" si="1"/>
        <v>0</v>
      </c>
    </row>
    <row r="51" spans="1:6" ht="15.75" customHeight="1">
      <c r="A51" s="265">
        <v>513000</v>
      </c>
      <c r="B51" s="259" t="s">
        <v>156</v>
      </c>
      <c r="C51" s="43">
        <f>SUM(C52:C53)</f>
        <v>120653.48</v>
      </c>
      <c r="D51" s="43">
        <f>SUM(D52:D53)</f>
        <v>150000</v>
      </c>
      <c r="E51" s="44">
        <f t="shared" si="0"/>
        <v>124.3229785000814</v>
      </c>
      <c r="F51" s="227">
        <f t="shared" si="1"/>
        <v>0.47305994568325704</v>
      </c>
    </row>
    <row r="52" spans="1:6" ht="12.75" customHeight="1">
      <c r="A52" s="242">
        <v>513100</v>
      </c>
      <c r="B52" s="109" t="s">
        <v>157</v>
      </c>
      <c r="C52" s="243">
        <f>SUMIF(Org!$C$10:Org!$D$606,513100,Org!E$10:Org!E$606)</f>
        <v>120653.48</v>
      </c>
      <c r="D52" s="243">
        <f>SUMIF(Org!$C$10:Org!$D$606,513100,Org!F$10:Org!F$606)</f>
        <v>150000</v>
      </c>
      <c r="E52" s="100">
        <f t="shared" si="0"/>
        <v>124.3229785000814</v>
      </c>
      <c r="F52" s="301">
        <f t="shared" si="1"/>
        <v>0.47305994568325704</v>
      </c>
    </row>
    <row r="53" spans="1:6" ht="12.75" customHeight="1" hidden="1">
      <c r="A53" s="242">
        <v>513700</v>
      </c>
      <c r="B53" s="109" t="s">
        <v>449</v>
      </c>
      <c r="C53" s="243"/>
      <c r="D53" s="243"/>
      <c r="E53" s="32">
        <f t="shared" si="0"/>
        <v>0</v>
      </c>
      <c r="F53" s="253">
        <f t="shared" si="1"/>
        <v>0</v>
      </c>
    </row>
    <row r="54" spans="1:6" ht="28.5" customHeight="1">
      <c r="A54" s="265">
        <v>516000</v>
      </c>
      <c r="B54" s="256" t="s">
        <v>256</v>
      </c>
      <c r="C54" s="43">
        <f>SUM(C55)</f>
        <v>415700</v>
      </c>
      <c r="D54" s="43">
        <f>SUM(D55)</f>
        <v>541300</v>
      </c>
      <c r="E54" s="44">
        <f t="shared" si="0"/>
        <v>130.21409670435412</v>
      </c>
      <c r="F54" s="227">
        <f t="shared" si="1"/>
        <v>1.7071156573223136</v>
      </c>
    </row>
    <row r="55" spans="1:6" ht="24.75" customHeight="1">
      <c r="A55" s="242">
        <v>516100</v>
      </c>
      <c r="B55" s="70" t="s">
        <v>256</v>
      </c>
      <c r="C55" s="243">
        <f>SUMIF(Org!$C$10:Org!$D$606,516100,Org!E$10:Org!E$606)</f>
        <v>415700</v>
      </c>
      <c r="D55" s="243">
        <f>SUMIF(Org!$C$10:Org!$D$606,516100,Org!F$10:Org!F$606)</f>
        <v>541300</v>
      </c>
      <c r="E55" s="100">
        <f t="shared" si="0"/>
        <v>130.21409670435412</v>
      </c>
      <c r="F55" s="301">
        <f t="shared" si="1"/>
        <v>1.7071156573223136</v>
      </c>
    </row>
    <row r="56" spans="1:6" ht="31.5" customHeight="1" thickBot="1">
      <c r="A56" s="266"/>
      <c r="B56" s="83" t="s">
        <v>245</v>
      </c>
      <c r="C56" s="85">
        <f>C4+C44</f>
        <v>29551092.91</v>
      </c>
      <c r="D56" s="85">
        <f>D4+D44</f>
        <v>31708455</v>
      </c>
      <c r="E56" s="85">
        <f t="shared" si="0"/>
        <v>107.30044772479448</v>
      </c>
      <c r="F56" s="267">
        <f t="shared" si="1"/>
        <v>100</v>
      </c>
    </row>
    <row r="57" spans="1:6" ht="13.5" customHeight="1" thickTop="1">
      <c r="A57" s="12"/>
      <c r="B57" s="24"/>
      <c r="C57" s="23"/>
      <c r="D57" s="23"/>
      <c r="E57" s="23"/>
      <c r="F57" s="25"/>
    </row>
    <row r="58" spans="1:6" ht="22.5" customHeight="1" hidden="1">
      <c r="A58" s="12"/>
      <c r="B58" s="442" t="s">
        <v>240</v>
      </c>
      <c r="C58" s="45">
        <f>Finansiranje!C17</f>
        <v>1205000</v>
      </c>
      <c r="D58" s="45">
        <f>Finansiranje!D17</f>
        <v>1445000</v>
      </c>
      <c r="E58" s="23"/>
      <c r="F58" s="25"/>
    </row>
    <row r="59" spans="2:4" ht="16.5" customHeight="1" hidden="1">
      <c r="B59" s="442" t="s">
        <v>305</v>
      </c>
      <c r="C59" s="45">
        <f>Finansiranje!C30</f>
        <v>643907.0900000001</v>
      </c>
      <c r="D59" s="45">
        <f>Finansiranje!D30</f>
        <v>546545</v>
      </c>
    </row>
    <row r="60" spans="2:4" ht="21.75" customHeight="1" hidden="1">
      <c r="B60" s="442" t="s">
        <v>681</v>
      </c>
      <c r="C60" s="45">
        <f>C56+SUM(C58:C59)</f>
        <v>31400000</v>
      </c>
      <c r="D60" s="45">
        <f>D56+SUM(D58:D59)</f>
        <v>33700000</v>
      </c>
    </row>
    <row r="61" ht="8.25" customHeight="1"/>
    <row r="62" spans="2:4" ht="12.75" customHeight="1" hidden="1">
      <c r="B62" s="338" t="s">
        <v>500</v>
      </c>
      <c r="C62" s="1"/>
      <c r="D62" s="1"/>
    </row>
    <row r="63" spans="2:4" ht="12.75" customHeight="1" hidden="1">
      <c r="B63" s="338" t="s">
        <v>501</v>
      </c>
      <c r="C63" s="1"/>
      <c r="D63" s="1"/>
    </row>
    <row r="64" spans="3:4" ht="12.75" customHeight="1" hidden="1">
      <c r="C64" s="1"/>
      <c r="D64" s="1"/>
    </row>
  </sheetData>
  <sheetProtection/>
  <mergeCells count="1">
    <mergeCell ref="A1:F1"/>
  </mergeCells>
  <printOptions horizontalCentered="1"/>
  <pageMargins left="0.15748031496062992" right="0.15748031496062992" top="0.5118110236220472" bottom="0.4330708661417323" header="0.3937007874015748" footer="0.1968503937007874"/>
  <pageSetup horizontalDpi="600" verticalDpi="600" orientation="landscape" paperSize="9" scale="105" r:id="rId1"/>
  <headerFooter alignWithMargins="0">
    <oddFooter>&amp;R&amp;P</oddFooter>
  </headerFooter>
  <rowBreaks count="1" manualBreakCount="1">
    <brk id="3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D147"/>
  <sheetViews>
    <sheetView zoomScale="106" zoomScaleNormal="106" zoomScalePageLayoutView="0" workbookViewId="0" topLeftCell="A1">
      <selection activeCell="H8" sqref="H8"/>
    </sheetView>
  </sheetViews>
  <sheetFormatPr defaultColWidth="9.140625" defaultRowHeight="12.75"/>
  <cols>
    <col min="1" max="1" width="12.8515625" style="0" customWidth="1"/>
    <col min="2" max="2" width="85.7109375" style="0" customWidth="1"/>
    <col min="3" max="3" width="16.7109375" style="0" customWidth="1"/>
    <col min="4" max="4" width="16.8515625" style="0" customWidth="1"/>
  </cols>
  <sheetData>
    <row r="1" spans="1:4" ht="39.75" customHeight="1" thickBot="1">
      <c r="A1" s="453" t="s">
        <v>580</v>
      </c>
      <c r="B1" s="453"/>
      <c r="C1" s="453"/>
      <c r="D1" s="453"/>
    </row>
    <row r="2" spans="1:4" ht="18.75" customHeight="1" thickTop="1">
      <c r="A2" s="454" t="s">
        <v>54</v>
      </c>
      <c r="B2" s="456" t="s">
        <v>191</v>
      </c>
      <c r="C2" s="475" t="s">
        <v>633</v>
      </c>
      <c r="D2" s="477" t="s">
        <v>571</v>
      </c>
    </row>
    <row r="3" spans="1:4" ht="44.25" customHeight="1">
      <c r="A3" s="455"/>
      <c r="B3" s="457"/>
      <c r="C3" s="476"/>
      <c r="D3" s="478"/>
    </row>
    <row r="4" spans="1:4" s="5" customFormat="1" ht="12.75" customHeight="1">
      <c r="A4" s="90">
        <v>1</v>
      </c>
      <c r="B4" s="88">
        <v>2</v>
      </c>
      <c r="C4" s="402">
        <v>3</v>
      </c>
      <c r="D4" s="383">
        <v>4</v>
      </c>
    </row>
    <row r="5" spans="1:4" ht="21" customHeight="1">
      <c r="A5" s="262"/>
      <c r="B5" s="239" t="s">
        <v>241</v>
      </c>
      <c r="C5" s="395">
        <f>C6-C8</f>
        <v>0</v>
      </c>
      <c r="D5" s="145">
        <f>D6-D8</f>
        <v>0</v>
      </c>
    </row>
    <row r="6" spans="1:4" ht="16.5" customHeight="1">
      <c r="A6" s="384">
        <v>910000</v>
      </c>
      <c r="B6" s="240" t="s">
        <v>235</v>
      </c>
      <c r="C6" s="45">
        <f>SUM(C7)</f>
        <v>0</v>
      </c>
      <c r="D6" s="46">
        <f>SUM(D7)</f>
        <v>0</v>
      </c>
    </row>
    <row r="7" spans="1:4" ht="12.75">
      <c r="A7" s="262">
        <v>911000</v>
      </c>
      <c r="B7" s="143" t="s">
        <v>236</v>
      </c>
      <c r="C7" s="51">
        <v>0</v>
      </c>
      <c r="D7" s="52">
        <v>0</v>
      </c>
    </row>
    <row r="8" spans="1:4" ht="18" customHeight="1">
      <c r="A8" s="384">
        <v>610000</v>
      </c>
      <c r="B8" s="240" t="s">
        <v>237</v>
      </c>
      <c r="C8" s="45">
        <f>SUM(C9)</f>
        <v>0</v>
      </c>
      <c r="D8" s="46">
        <f>SUM(D9)</f>
        <v>0</v>
      </c>
    </row>
    <row r="9" spans="1:4" ht="12.75">
      <c r="A9" s="241">
        <v>611000</v>
      </c>
      <c r="B9" s="143" t="s">
        <v>238</v>
      </c>
      <c r="C9" s="51">
        <f>Org!E455</f>
        <v>0</v>
      </c>
      <c r="D9" s="52">
        <f>Org!F455</f>
        <v>0</v>
      </c>
    </row>
    <row r="10" spans="1:4" ht="15.75" customHeight="1">
      <c r="A10" s="241"/>
      <c r="B10" s="239" t="s">
        <v>255</v>
      </c>
      <c r="C10" s="395">
        <f>C11-C17</f>
        <v>1578592.37</v>
      </c>
      <c r="D10" s="145">
        <f>D11-D17</f>
        <v>4055000</v>
      </c>
    </row>
    <row r="11" spans="1:4" ht="18" customHeight="1">
      <c r="A11" s="384">
        <v>920000</v>
      </c>
      <c r="B11" s="240" t="s">
        <v>242</v>
      </c>
      <c r="C11" s="45">
        <f>C12+C14</f>
        <v>2783592.37</v>
      </c>
      <c r="D11" s="46">
        <f>D12+D14</f>
        <v>5500000</v>
      </c>
    </row>
    <row r="12" spans="1:4" ht="12.75">
      <c r="A12" s="384">
        <v>921000</v>
      </c>
      <c r="B12" s="68" t="s">
        <v>365</v>
      </c>
      <c r="C12" s="403">
        <f>SUM(C13)</f>
        <v>2783592.37</v>
      </c>
      <c r="D12" s="385">
        <f>SUM(D13)</f>
        <v>5500000</v>
      </c>
    </row>
    <row r="13" spans="1:4" ht="12.75">
      <c r="A13" s="262">
        <v>921200</v>
      </c>
      <c r="B13" s="57" t="s">
        <v>265</v>
      </c>
      <c r="C13" s="51">
        <v>2783592.37</v>
      </c>
      <c r="D13" s="52">
        <v>5500000</v>
      </c>
    </row>
    <row r="14" spans="1:4" ht="17.25" customHeight="1" hidden="1">
      <c r="A14" s="409">
        <v>928000</v>
      </c>
      <c r="B14" s="68" t="s">
        <v>604</v>
      </c>
      <c r="C14" s="405">
        <f>SUM(C15:C16)</f>
        <v>0</v>
      </c>
      <c r="D14" s="64">
        <f>SUM(D15:D16)</f>
        <v>0</v>
      </c>
    </row>
    <row r="15" spans="1:4" ht="17.25" customHeight="1" hidden="1">
      <c r="A15" s="262">
        <v>928100</v>
      </c>
      <c r="B15" s="57" t="s">
        <v>605</v>
      </c>
      <c r="C15" s="51">
        <v>0</v>
      </c>
      <c r="D15" s="52">
        <v>0</v>
      </c>
    </row>
    <row r="16" spans="1:4" ht="17.25" customHeight="1" hidden="1">
      <c r="A16" s="262">
        <v>928100</v>
      </c>
      <c r="B16" s="57" t="s">
        <v>606</v>
      </c>
      <c r="C16" s="51">
        <v>0</v>
      </c>
      <c r="D16" s="52">
        <v>0</v>
      </c>
    </row>
    <row r="17" spans="1:4" ht="17.25" customHeight="1">
      <c r="A17" s="384">
        <v>620000</v>
      </c>
      <c r="B17" s="240" t="s">
        <v>240</v>
      </c>
      <c r="C17" s="45">
        <f>C18+C21</f>
        <v>1205000</v>
      </c>
      <c r="D17" s="46">
        <f>D18+D21</f>
        <v>1445000</v>
      </c>
    </row>
    <row r="18" spans="1:4" ht="17.25" customHeight="1">
      <c r="A18" s="384">
        <v>621000</v>
      </c>
      <c r="B18" s="68" t="s">
        <v>134</v>
      </c>
      <c r="C18" s="403">
        <f>SUM(C19:C20)</f>
        <v>1025000</v>
      </c>
      <c r="D18" s="385">
        <f>SUM(D19:D20)</f>
        <v>1265000</v>
      </c>
    </row>
    <row r="19" spans="1:4" ht="16.5" customHeight="1">
      <c r="A19" s="326">
        <v>621300</v>
      </c>
      <c r="B19" s="70" t="s">
        <v>141</v>
      </c>
      <c r="C19" s="275">
        <f>SUMIF(Org!$C$10:$D$600,621300,Org!E$10:E$600)</f>
        <v>940000</v>
      </c>
      <c r="D19" s="244">
        <f>SUMIF(Org!$C$10:$D$600,621300,Org!F$10:F$600)</f>
        <v>1180000</v>
      </c>
    </row>
    <row r="20" spans="1:4" ht="15.75" customHeight="1">
      <c r="A20" s="242">
        <v>621900</v>
      </c>
      <c r="B20" s="70" t="s">
        <v>267</v>
      </c>
      <c r="C20" s="275">
        <f>SUMIF(Org!$C$10:$D$600,621900,Org!E$10:E$600)</f>
        <v>85000</v>
      </c>
      <c r="D20" s="244">
        <f>SUMIF(Org!$C$10:$D$600,621900,Org!F$10:F$600)</f>
        <v>85000</v>
      </c>
    </row>
    <row r="21" spans="1:4" ht="15.75" customHeight="1">
      <c r="A21" s="384">
        <v>628000</v>
      </c>
      <c r="B21" s="120" t="s">
        <v>361</v>
      </c>
      <c r="C21" s="404">
        <f>SUM(C22)</f>
        <v>180000</v>
      </c>
      <c r="D21" s="386">
        <f>SUM(D22)</f>
        <v>180000</v>
      </c>
    </row>
    <row r="22" spans="1:4" ht="15.75" customHeight="1">
      <c r="A22" s="242">
        <v>628100</v>
      </c>
      <c r="B22" s="70" t="s">
        <v>364</v>
      </c>
      <c r="C22" s="275">
        <f>SUMIF(Org!$C$10:$D$600,628100,Org!E$10:E$600)</f>
        <v>180000</v>
      </c>
      <c r="D22" s="244">
        <f>SUMIF(Org!$C$10:$D$600,628100,Org!F$10:F$600)</f>
        <v>180000</v>
      </c>
    </row>
    <row r="23" spans="1:4" ht="20.25" customHeight="1">
      <c r="A23" s="242"/>
      <c r="B23" s="239" t="s">
        <v>303</v>
      </c>
      <c r="C23" s="395">
        <f>C24-C30</f>
        <v>-295123.94000000006</v>
      </c>
      <c r="D23" s="145">
        <f>D24-D30</f>
        <v>-186545</v>
      </c>
    </row>
    <row r="24" spans="1:4" ht="15.75" customHeight="1">
      <c r="A24" s="384">
        <v>930000</v>
      </c>
      <c r="B24" s="240" t="s">
        <v>304</v>
      </c>
      <c r="C24" s="45">
        <f>C25+C27</f>
        <v>348783.15</v>
      </c>
      <c r="D24" s="46">
        <f>D25+D27</f>
        <v>360000</v>
      </c>
    </row>
    <row r="25" spans="1:4" ht="17.25" customHeight="1">
      <c r="A25" s="384">
        <v>931000</v>
      </c>
      <c r="B25" s="68" t="s">
        <v>288</v>
      </c>
      <c r="C25" s="403">
        <f>SUM(C26:C26)</f>
        <v>35500</v>
      </c>
      <c r="D25" s="385">
        <f>SUM(D26:D26)</f>
        <v>44000</v>
      </c>
    </row>
    <row r="26" spans="1:4" ht="12.75">
      <c r="A26" s="262">
        <v>931100</v>
      </c>
      <c r="B26" s="143" t="s">
        <v>475</v>
      </c>
      <c r="C26" s="51">
        <v>35500</v>
      </c>
      <c r="D26" s="52">
        <v>44000</v>
      </c>
    </row>
    <row r="27" spans="1:4" ht="12.75">
      <c r="A27" s="384">
        <v>938000</v>
      </c>
      <c r="B27" s="246" t="s">
        <v>331</v>
      </c>
      <c r="C27" s="405">
        <f>SUM(C28:C29)</f>
        <v>313283.15</v>
      </c>
      <c r="D27" s="64">
        <f>SUM(D28:D29)</f>
        <v>316000</v>
      </c>
    </row>
    <row r="28" spans="1:4" ht="25.5">
      <c r="A28" s="242">
        <v>938100</v>
      </c>
      <c r="B28" s="57" t="s">
        <v>332</v>
      </c>
      <c r="C28" s="130">
        <v>211283.15</v>
      </c>
      <c r="D28" s="387">
        <v>176000</v>
      </c>
    </row>
    <row r="29" spans="1:4" ht="25.5">
      <c r="A29" s="326">
        <v>938100</v>
      </c>
      <c r="B29" s="57" t="s">
        <v>476</v>
      </c>
      <c r="C29" s="130">
        <v>102000</v>
      </c>
      <c r="D29" s="387">
        <v>140000</v>
      </c>
    </row>
    <row r="30" spans="1:4" ht="15.75" customHeight="1">
      <c r="A30" s="384">
        <v>630000</v>
      </c>
      <c r="B30" s="240" t="s">
        <v>305</v>
      </c>
      <c r="C30" s="45">
        <f>C31+C35</f>
        <v>643907.0900000001</v>
      </c>
      <c r="D30" s="46">
        <f>D31+D35</f>
        <v>546545</v>
      </c>
    </row>
    <row r="31" spans="1:4" ht="15.75" customHeight="1">
      <c r="A31" s="384">
        <v>631000</v>
      </c>
      <c r="B31" s="246" t="s">
        <v>290</v>
      </c>
      <c r="C31" s="405">
        <f>SUM(C32:C34)</f>
        <v>293100</v>
      </c>
      <c r="D31" s="64">
        <f>SUM(D32:D34)</f>
        <v>126000</v>
      </c>
    </row>
    <row r="32" spans="1:4" ht="15.75" customHeight="1">
      <c r="A32" s="388">
        <v>631100</v>
      </c>
      <c r="B32" s="332" t="s">
        <v>679</v>
      </c>
      <c r="C32" s="406">
        <f>Org!E463</f>
        <v>35500</v>
      </c>
      <c r="D32" s="298">
        <f>Org!F463</f>
        <v>44000</v>
      </c>
    </row>
    <row r="33" spans="1:4" ht="15.75" customHeight="1">
      <c r="A33" s="245">
        <v>631300</v>
      </c>
      <c r="B33" s="143" t="s">
        <v>385</v>
      </c>
      <c r="C33" s="51">
        <f>Org!E598+Org!E599</f>
        <v>239000</v>
      </c>
      <c r="D33" s="52">
        <f>Org!F598+Org!F599</f>
        <v>65000</v>
      </c>
    </row>
    <row r="34" spans="1:4" ht="12.75">
      <c r="A34" s="242">
        <v>631900</v>
      </c>
      <c r="B34" s="57" t="s">
        <v>335</v>
      </c>
      <c r="C34" s="130">
        <f>Org!E600</f>
        <v>18600</v>
      </c>
      <c r="D34" s="387">
        <f>Org!F600</f>
        <v>17000</v>
      </c>
    </row>
    <row r="35" spans="1:4" ht="15.75" customHeight="1">
      <c r="A35" s="384">
        <v>638000</v>
      </c>
      <c r="B35" s="68" t="s">
        <v>326</v>
      </c>
      <c r="C35" s="403">
        <f>SUM(C36:C37)</f>
        <v>350807.09</v>
      </c>
      <c r="D35" s="385">
        <f>SUM(D36:D37)</f>
        <v>420545</v>
      </c>
    </row>
    <row r="36" spans="1:4" ht="25.5">
      <c r="A36" s="242">
        <v>638100</v>
      </c>
      <c r="B36" s="57" t="s">
        <v>296</v>
      </c>
      <c r="C36" s="130">
        <f>SUMIF(Org!$C$10:$D$600,638100,Org!E$10:E$600)</f>
        <v>322650</v>
      </c>
      <c r="D36" s="387">
        <f>SUMIF(Org!$C$10:$D$600,638100,Org!F$10:F$600)</f>
        <v>406000</v>
      </c>
    </row>
    <row r="37" spans="1:4" ht="12.75">
      <c r="A37" s="242">
        <v>638100</v>
      </c>
      <c r="B37" s="70" t="s">
        <v>333</v>
      </c>
      <c r="C37" s="130">
        <f>Org!E602</f>
        <v>28157.09</v>
      </c>
      <c r="D37" s="387">
        <f>Org!F602</f>
        <v>14545</v>
      </c>
    </row>
    <row r="38" spans="1:4" ht="18" customHeight="1">
      <c r="A38" s="384"/>
      <c r="B38" s="239" t="s">
        <v>384</v>
      </c>
      <c r="C38" s="395">
        <f>SUM(C39:C44)</f>
        <v>837624.48</v>
      </c>
      <c r="D38" s="145">
        <f>SUM(D39:D44)</f>
        <v>440000</v>
      </c>
    </row>
    <row r="39" spans="1:4" ht="15" customHeight="1">
      <c r="A39" s="247" t="s">
        <v>264</v>
      </c>
      <c r="B39" s="70" t="s">
        <v>270</v>
      </c>
      <c r="C39" s="275">
        <v>60000</v>
      </c>
      <c r="D39" s="244">
        <v>127000</v>
      </c>
    </row>
    <row r="40" spans="1:4" ht="12.75">
      <c r="A40" s="247" t="s">
        <v>264</v>
      </c>
      <c r="B40" s="70" t="s">
        <v>271</v>
      </c>
      <c r="C40" s="275">
        <v>250000</v>
      </c>
      <c r="D40" s="244">
        <v>270000</v>
      </c>
    </row>
    <row r="41" spans="1:4" ht="12.75" customHeight="1">
      <c r="A41" s="247" t="s">
        <v>264</v>
      </c>
      <c r="B41" s="70" t="s">
        <v>409</v>
      </c>
      <c r="C41" s="130">
        <v>10000</v>
      </c>
      <c r="D41" s="387">
        <v>43000</v>
      </c>
    </row>
    <row r="42" spans="1:4" ht="38.25">
      <c r="A42" s="247" t="s">
        <v>264</v>
      </c>
      <c r="B42" s="70" t="s">
        <v>646</v>
      </c>
      <c r="C42" s="275">
        <v>122304.44</v>
      </c>
      <c r="D42" s="244">
        <v>0</v>
      </c>
    </row>
    <row r="43" spans="1:4" ht="39" customHeight="1">
      <c r="A43" s="247" t="s">
        <v>264</v>
      </c>
      <c r="B43" s="70" t="s">
        <v>645</v>
      </c>
      <c r="C43" s="275">
        <v>141925.85</v>
      </c>
      <c r="D43" s="244">
        <v>0</v>
      </c>
    </row>
    <row r="44" spans="1:4" ht="38.25">
      <c r="A44" s="247" t="s">
        <v>264</v>
      </c>
      <c r="B44" s="70" t="s">
        <v>647</v>
      </c>
      <c r="C44" s="275">
        <v>253394.19</v>
      </c>
      <c r="D44" s="244">
        <v>0</v>
      </c>
    </row>
    <row r="45" spans="1:4" s="5" customFormat="1" ht="24.75" customHeight="1" thickBot="1">
      <c r="A45" s="389"/>
      <c r="B45" s="390" t="s">
        <v>306</v>
      </c>
      <c r="C45" s="407">
        <f>C5+C10+C23+C38</f>
        <v>2121092.91</v>
      </c>
      <c r="D45" s="86">
        <f>D5+D10+D23+D38</f>
        <v>4308455</v>
      </c>
    </row>
    <row r="46" spans="1:2" ht="18" customHeight="1" thickTop="1">
      <c r="A46" s="15"/>
      <c r="B46" s="13"/>
    </row>
    <row r="47" spans="1:2" ht="18" customHeight="1">
      <c r="A47" s="15"/>
      <c r="B47" s="13"/>
    </row>
    <row r="48" spans="1:2" ht="18" customHeight="1">
      <c r="A48" s="15"/>
      <c r="B48" s="13"/>
    </row>
    <row r="49" spans="1:3" ht="0.75" customHeight="1">
      <c r="A49" s="3"/>
      <c r="B49" s="13" t="s">
        <v>539</v>
      </c>
      <c r="C49" s="1">
        <f>C7+C13+C24+C38</f>
        <v>3970000</v>
      </c>
    </row>
    <row r="50" spans="1:3" ht="12.75" customHeight="1" hidden="1">
      <c r="A50" s="3"/>
      <c r="B50" s="13" t="s">
        <v>540</v>
      </c>
      <c r="C50" s="1">
        <f>C9+C17+C30</f>
        <v>1848907.09</v>
      </c>
    </row>
    <row r="51" spans="1:3" ht="18.75" customHeight="1" hidden="1">
      <c r="A51" s="3"/>
      <c r="B51" s="302" t="s">
        <v>553</v>
      </c>
      <c r="C51" s="1">
        <f>C49-C50</f>
        <v>2121092.91</v>
      </c>
    </row>
    <row r="52" ht="16.5" customHeight="1">
      <c r="A52" s="4"/>
    </row>
    <row r="53" spans="1:3" ht="15.75" customHeight="1">
      <c r="A53" s="16"/>
      <c r="B53" s="16"/>
      <c r="C53" s="1"/>
    </row>
    <row r="54" spans="1:2" ht="12.75">
      <c r="A54" s="16"/>
      <c r="B54" s="16"/>
    </row>
    <row r="55" spans="1:2" ht="17.25" customHeight="1">
      <c r="A55" s="16"/>
      <c r="B55" s="16"/>
    </row>
    <row r="56" spans="1:2" ht="12.75">
      <c r="A56" s="16"/>
      <c r="B56" s="16"/>
    </row>
    <row r="57" spans="1:2" ht="12.75">
      <c r="A57" s="16"/>
      <c r="B57" s="16"/>
    </row>
    <row r="58" spans="1:2" ht="12.75">
      <c r="A58" s="16"/>
      <c r="B58" s="16"/>
    </row>
    <row r="59" spans="1:2" ht="23.25" customHeight="1">
      <c r="A59" s="16"/>
      <c r="B59" s="16"/>
    </row>
    <row r="60" spans="1:2" ht="16.5" customHeight="1">
      <c r="A60" s="16"/>
      <c r="B60" s="16"/>
    </row>
    <row r="61" spans="1:2" ht="12.75">
      <c r="A61" s="16"/>
      <c r="B61" s="16"/>
    </row>
    <row r="62" spans="1:2" ht="12.75">
      <c r="A62" s="16"/>
      <c r="B62" s="16"/>
    </row>
    <row r="63" spans="1:2" ht="15" customHeight="1">
      <c r="A63" s="16"/>
      <c r="B63" s="16"/>
    </row>
    <row r="64" spans="1:2" ht="12.75">
      <c r="A64" s="16"/>
      <c r="B64" s="16"/>
    </row>
    <row r="65" spans="1:2" ht="26.25" customHeight="1">
      <c r="A65" s="16"/>
      <c r="B65" s="16"/>
    </row>
    <row r="66" spans="1:2" ht="12.75">
      <c r="A66" s="16"/>
      <c r="B66" s="16"/>
    </row>
    <row r="67" spans="1:2" ht="12.75">
      <c r="A67" s="16"/>
      <c r="B67" s="16"/>
    </row>
    <row r="68" spans="1:2" ht="12.75">
      <c r="A68" s="16"/>
      <c r="B68" s="16"/>
    </row>
    <row r="69" spans="1:2" ht="12.75">
      <c r="A69" s="16"/>
      <c r="B69" s="16"/>
    </row>
    <row r="70" spans="1:2" ht="12.75">
      <c r="A70" s="16"/>
      <c r="B70" s="16"/>
    </row>
    <row r="71" spans="1:2" ht="12.75">
      <c r="A71" s="16"/>
      <c r="B71" s="16"/>
    </row>
    <row r="72" spans="1:2" ht="15.75" customHeight="1">
      <c r="A72" s="16"/>
      <c r="B72" s="16"/>
    </row>
    <row r="73" spans="1:2" ht="12.75">
      <c r="A73" s="16"/>
      <c r="B73" s="16"/>
    </row>
    <row r="74" spans="1:2" ht="12.75">
      <c r="A74" s="16"/>
      <c r="B74" s="16"/>
    </row>
    <row r="75" spans="1:2" ht="12.75">
      <c r="A75" s="16"/>
      <c r="B75" s="16"/>
    </row>
    <row r="76" spans="1:2" ht="12.75" customHeight="1">
      <c r="A76" s="16"/>
      <c r="B76" s="16"/>
    </row>
    <row r="77" spans="1:2" ht="12.75">
      <c r="A77" s="16"/>
      <c r="B77" s="16"/>
    </row>
    <row r="78" spans="1:2" s="14" customFormat="1" ht="11.25">
      <c r="A78" s="16"/>
      <c r="B78" s="16"/>
    </row>
    <row r="79" spans="1:2" s="14" customFormat="1" ht="11.25">
      <c r="A79" s="16"/>
      <c r="B79" s="16"/>
    </row>
    <row r="80" spans="1:2" s="14" customFormat="1" ht="11.25">
      <c r="A80" s="16"/>
      <c r="B80" s="16"/>
    </row>
    <row r="81" spans="1:2" s="14" customFormat="1" ht="11.25">
      <c r="A81" s="16"/>
      <c r="B81" s="16"/>
    </row>
    <row r="82" spans="1:2" s="14" customFormat="1" ht="11.25">
      <c r="A82" s="16"/>
      <c r="B82" s="16"/>
    </row>
    <row r="83" spans="1:2" s="14" customFormat="1" ht="11.25">
      <c r="A83" s="16"/>
      <c r="B83" s="16"/>
    </row>
    <row r="84" spans="1:2" s="14" customFormat="1" ht="11.25">
      <c r="A84" s="16"/>
      <c r="B84" s="16"/>
    </row>
    <row r="85" spans="1:2" s="14" customFormat="1" ht="11.25">
      <c r="A85" s="16"/>
      <c r="B85" s="16"/>
    </row>
    <row r="86" spans="1:2" s="14" customFormat="1" ht="11.25">
      <c r="A86" s="16"/>
      <c r="B86" s="16"/>
    </row>
    <row r="87" spans="1:2" s="14" customFormat="1" ht="11.25">
      <c r="A87" s="16"/>
      <c r="B87" s="16"/>
    </row>
    <row r="88" spans="1:2" s="14" customFormat="1" ht="11.25">
      <c r="A88" s="16"/>
      <c r="B88" s="16"/>
    </row>
    <row r="89" spans="1:2" s="14" customFormat="1" ht="11.25">
      <c r="A89" s="16"/>
      <c r="B89" s="16"/>
    </row>
    <row r="90" spans="1:2" s="14" customFormat="1" ht="11.25">
      <c r="A90" s="16"/>
      <c r="B90" s="16"/>
    </row>
    <row r="91" spans="1:2" s="14" customFormat="1" ht="11.25">
      <c r="A91" s="16"/>
      <c r="B91" s="16"/>
    </row>
    <row r="92" spans="1:2" s="14" customFormat="1" ht="11.25">
      <c r="A92" s="16"/>
      <c r="B92" s="16"/>
    </row>
    <row r="93" spans="1:2" s="14" customFormat="1" ht="11.25">
      <c r="A93" s="16"/>
      <c r="B93" s="16"/>
    </row>
    <row r="94" spans="1:2" s="14" customFormat="1" ht="11.25">
      <c r="A94" s="16"/>
      <c r="B94" s="16"/>
    </row>
    <row r="95" spans="1:2" s="14" customFormat="1" ht="11.25">
      <c r="A95" s="16"/>
      <c r="B95" s="16"/>
    </row>
    <row r="96" spans="1:2" s="14" customFormat="1" ht="11.25">
      <c r="A96" s="16"/>
      <c r="B96" s="16"/>
    </row>
    <row r="97" spans="1:2" s="14" customFormat="1" ht="11.25">
      <c r="A97" s="16"/>
      <c r="B97" s="16"/>
    </row>
    <row r="98" spans="1:2" s="14" customFormat="1" ht="11.25">
      <c r="A98" s="16"/>
      <c r="B98" s="16"/>
    </row>
    <row r="99" spans="1:2" s="14" customFormat="1" ht="11.25">
      <c r="A99" s="16"/>
      <c r="B99" s="16"/>
    </row>
    <row r="100" spans="1:2" s="14" customFormat="1" ht="11.25">
      <c r="A100" s="16"/>
      <c r="B100" s="16"/>
    </row>
    <row r="101" spans="1:2" s="14" customFormat="1" ht="11.25">
      <c r="A101" s="16"/>
      <c r="B101" s="16"/>
    </row>
    <row r="102" spans="1:2" s="14" customFormat="1" ht="11.25">
      <c r="A102" s="16"/>
      <c r="B102" s="16"/>
    </row>
    <row r="103" spans="1:2" s="14" customFormat="1" ht="11.25">
      <c r="A103" s="16"/>
      <c r="B103" s="16"/>
    </row>
    <row r="104" spans="1:2" s="14" customFormat="1" ht="11.25">
      <c r="A104" s="16"/>
      <c r="B104" s="16"/>
    </row>
    <row r="105" spans="1:2" s="14" customFormat="1" ht="11.25">
      <c r="A105" s="16"/>
      <c r="B105" s="16"/>
    </row>
    <row r="106" spans="1:2" s="14" customFormat="1" ht="11.25">
      <c r="A106" s="16"/>
      <c r="B106" s="16"/>
    </row>
    <row r="107" spans="1:2" s="14" customFormat="1" ht="11.25">
      <c r="A107" s="16"/>
      <c r="B107" s="16"/>
    </row>
    <row r="108" spans="1:2" s="14" customFormat="1" ht="11.25">
      <c r="A108" s="16"/>
      <c r="B108" s="16"/>
    </row>
    <row r="109" spans="1:2" s="14" customFormat="1" ht="11.25">
      <c r="A109" s="16"/>
      <c r="B109" s="16"/>
    </row>
    <row r="110" spans="1:2" ht="12.75">
      <c r="A110" s="16"/>
      <c r="B110" s="16"/>
    </row>
    <row r="111" spans="1:2" ht="12.75">
      <c r="A111" s="16"/>
      <c r="B111" s="16"/>
    </row>
    <row r="112" spans="1:2" ht="12.75">
      <c r="A112" s="16"/>
      <c r="B112" s="16"/>
    </row>
    <row r="113" spans="1:2" ht="12.75">
      <c r="A113" s="16"/>
      <c r="B113" s="16"/>
    </row>
    <row r="114" spans="1:2" ht="12.75">
      <c r="A114" s="16"/>
      <c r="B114" s="16"/>
    </row>
    <row r="115" spans="1:2" ht="12.75">
      <c r="A115" s="16"/>
      <c r="B115" s="16"/>
    </row>
    <row r="116" spans="1:2" ht="12.75">
      <c r="A116" s="16"/>
      <c r="B116" s="16"/>
    </row>
    <row r="117" spans="1:2" ht="12.75">
      <c r="A117" s="16"/>
      <c r="B117" s="16"/>
    </row>
    <row r="118" spans="1:2" ht="12.75">
      <c r="A118" s="16"/>
      <c r="B118" s="16"/>
    </row>
    <row r="119" spans="1:2" ht="12.75">
      <c r="A119" s="16"/>
      <c r="B119" s="16"/>
    </row>
    <row r="120" spans="1:2" ht="12.75">
      <c r="A120" s="16"/>
      <c r="B120" s="16"/>
    </row>
    <row r="121" spans="1:2" ht="12.75">
      <c r="A121" s="16"/>
      <c r="B121" s="3"/>
    </row>
    <row r="122" spans="1:2" ht="12.75">
      <c r="A122" s="4"/>
      <c r="B122" s="3"/>
    </row>
    <row r="123" spans="1:2" ht="12.75">
      <c r="A123" s="4"/>
      <c r="B123" s="3"/>
    </row>
    <row r="124" spans="1:2" ht="12.75">
      <c r="A124" s="4"/>
      <c r="B124" s="3"/>
    </row>
    <row r="125" spans="1:2" ht="12.75">
      <c r="A125" s="4"/>
      <c r="B125" s="3"/>
    </row>
    <row r="126" spans="1:2" ht="12.75">
      <c r="A126" s="4"/>
      <c r="B126" s="3"/>
    </row>
    <row r="127" spans="1:2" ht="12.75">
      <c r="A127" s="4"/>
      <c r="B127" s="3"/>
    </row>
    <row r="128" spans="1:2" ht="12.75">
      <c r="A128" s="4"/>
      <c r="B128" s="3"/>
    </row>
    <row r="129" spans="1:2" ht="12.75">
      <c r="A129" s="4"/>
      <c r="B129" s="3"/>
    </row>
    <row r="130" spans="1:2" ht="12.75">
      <c r="A130" s="4"/>
      <c r="B130" s="3"/>
    </row>
    <row r="131" spans="1:2" ht="12.75">
      <c r="A131" s="4"/>
      <c r="B131" s="3"/>
    </row>
    <row r="132" spans="1:2" ht="12.75">
      <c r="A132" s="4"/>
      <c r="B132" s="3"/>
    </row>
    <row r="133" spans="1:2" s="14" customFormat="1" ht="12.75">
      <c r="A133" s="4"/>
      <c r="B133" s="3"/>
    </row>
    <row r="134" spans="1:2" s="14" customFormat="1" ht="12.75">
      <c r="A134" s="4"/>
      <c r="B134" s="3"/>
    </row>
    <row r="135" spans="1:2" s="14" customFormat="1" ht="12.75">
      <c r="A135" s="4"/>
      <c r="B135" s="3"/>
    </row>
    <row r="136" spans="1:2" s="14" customFormat="1" ht="12.75">
      <c r="A136" s="4"/>
      <c r="B136" s="3"/>
    </row>
    <row r="137" spans="1:2" s="14" customFormat="1" ht="12.75">
      <c r="A137" s="4"/>
      <c r="B137" s="3"/>
    </row>
    <row r="138" spans="1:2" s="14" customFormat="1" ht="12.75">
      <c r="A138" s="4"/>
      <c r="B138" s="3"/>
    </row>
    <row r="139" spans="1:2" s="14" customFormat="1" ht="12.75">
      <c r="A139" s="4"/>
      <c r="B139" s="3"/>
    </row>
    <row r="140" spans="1:2" s="14" customFormat="1" ht="12.75">
      <c r="A140" s="4"/>
      <c r="B140" s="3"/>
    </row>
    <row r="141" spans="1:2" s="14" customFormat="1" ht="12.75">
      <c r="A141" s="4"/>
      <c r="B141" s="3"/>
    </row>
    <row r="142" spans="1:2" s="14" customFormat="1" ht="12.75">
      <c r="A142" s="4"/>
      <c r="B142" s="3"/>
    </row>
    <row r="143" spans="1:2" s="14" customFormat="1" ht="12.75">
      <c r="A143" s="4"/>
      <c r="B143" s="3"/>
    </row>
    <row r="144" spans="1:2" s="14" customFormat="1" ht="12.75">
      <c r="A144" s="4"/>
      <c r="B144" s="3"/>
    </row>
    <row r="145" spans="1:2" s="14" customFormat="1" ht="12.75">
      <c r="A145" s="4"/>
      <c r="B145" s="3"/>
    </row>
    <row r="146" spans="1:2" s="14" customFormat="1" ht="12.75">
      <c r="A146" s="4"/>
      <c r="B146" s="3"/>
    </row>
    <row r="147" spans="1:2" s="14" customFormat="1" ht="12.75">
      <c r="A147" s="4"/>
      <c r="B147"/>
    </row>
  </sheetData>
  <sheetProtection/>
  <mergeCells count="5">
    <mergeCell ref="C2:C3"/>
    <mergeCell ref="A2:A3"/>
    <mergeCell ref="B2:B3"/>
    <mergeCell ref="D2:D3"/>
    <mergeCell ref="A1:D1"/>
  </mergeCells>
  <printOptions horizontalCentered="1"/>
  <pageMargins left="0.15748031496062992" right="0.15748031496062992" top="0.4330708661417323" bottom="0.4724409448818898" header="0.2755905511811024" footer="0.2362204724409449"/>
  <pageSetup horizontalDpi="600" verticalDpi="600" orientation="landscape" paperSize="9" scale="107" r:id="rId1"/>
  <headerFooter alignWithMargins="0">
    <oddFooter>&amp;R&amp;P</oddFooter>
  </headerFooter>
  <rowBreaks count="1" manualBreakCount="1">
    <brk id="29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M622"/>
  <sheetViews>
    <sheetView zoomScale="98" zoomScaleNormal="98" zoomScaleSheetLayoutView="98" zoomScalePageLayoutView="0" workbookViewId="0" topLeftCell="A1">
      <pane ySplit="4" topLeftCell="A5" activePane="bottomLeft" state="frozen"/>
      <selection pane="topLeft" activeCell="A1" sqref="A1"/>
      <selection pane="bottomLeft" activeCell="D269" sqref="D269"/>
    </sheetView>
  </sheetViews>
  <sheetFormatPr defaultColWidth="9.140625" defaultRowHeight="12.75"/>
  <cols>
    <col min="1" max="1" width="6.8515625" style="0" customWidth="1"/>
    <col min="2" max="2" width="10.00390625" style="0" customWidth="1"/>
    <col min="3" max="3" width="8.28125" style="0" customWidth="1"/>
    <col min="4" max="4" width="60.8515625" style="0" customWidth="1"/>
    <col min="5" max="6" width="16.28125" style="0" customWidth="1"/>
    <col min="7" max="7" width="10.8515625" style="0" customWidth="1"/>
    <col min="8" max="8" width="10.140625" style="0" customWidth="1"/>
    <col min="11" max="11" width="20.28125" style="0" customWidth="1"/>
    <col min="12" max="12" width="16.00390625" style="0" customWidth="1"/>
  </cols>
  <sheetData>
    <row r="1" spans="1:8" ht="36" customHeight="1" thickBot="1">
      <c r="A1" s="507" t="s">
        <v>575</v>
      </c>
      <c r="B1" s="507"/>
      <c r="C1" s="507"/>
      <c r="D1" s="507"/>
      <c r="E1" s="507"/>
      <c r="F1" s="507"/>
      <c r="G1" s="507"/>
      <c r="H1" s="507"/>
    </row>
    <row r="2" spans="1:8" ht="15" customHeight="1" thickTop="1">
      <c r="A2" s="454" t="s">
        <v>190</v>
      </c>
      <c r="B2" s="456" t="s">
        <v>3</v>
      </c>
      <c r="C2" s="508"/>
      <c r="D2" s="456" t="s">
        <v>191</v>
      </c>
      <c r="E2" s="462" t="s">
        <v>633</v>
      </c>
      <c r="F2" s="462" t="s">
        <v>576</v>
      </c>
      <c r="G2" s="511" t="s">
        <v>105</v>
      </c>
      <c r="H2" s="509" t="s">
        <v>428</v>
      </c>
    </row>
    <row r="3" spans="1:8" ht="33.75" customHeight="1">
      <c r="A3" s="455"/>
      <c r="B3" s="110" t="s">
        <v>393</v>
      </c>
      <c r="C3" s="377" t="s">
        <v>20</v>
      </c>
      <c r="D3" s="457"/>
      <c r="E3" s="463"/>
      <c r="F3" s="463"/>
      <c r="G3" s="512"/>
      <c r="H3" s="510"/>
    </row>
    <row r="4" spans="1:8" ht="9.75" customHeight="1">
      <c r="A4" s="111">
        <v>1</v>
      </c>
      <c r="B4" s="88">
        <v>2</v>
      </c>
      <c r="C4" s="88">
        <v>3</v>
      </c>
      <c r="D4" s="380">
        <v>4</v>
      </c>
      <c r="E4" s="112">
        <v>5</v>
      </c>
      <c r="F4" s="112">
        <v>6</v>
      </c>
      <c r="G4" s="112" t="s">
        <v>544</v>
      </c>
      <c r="H4" s="89">
        <v>8</v>
      </c>
    </row>
    <row r="5" spans="1:8" ht="9.75" customHeight="1">
      <c r="A5" s="493"/>
      <c r="B5" s="494"/>
      <c r="C5" s="479" t="s">
        <v>625</v>
      </c>
      <c r="D5" s="479"/>
      <c r="E5" s="114"/>
      <c r="F5" s="114"/>
      <c r="G5" s="114"/>
      <c r="H5" s="115"/>
    </row>
    <row r="6" spans="1:8" ht="9.75" customHeight="1">
      <c r="A6" s="493"/>
      <c r="B6" s="494"/>
      <c r="C6" s="479"/>
      <c r="D6" s="479"/>
      <c r="E6" s="116"/>
      <c r="F6" s="116"/>
      <c r="G6" s="116"/>
      <c r="H6" s="117"/>
    </row>
    <row r="7" spans="1:8" ht="24" customHeight="1">
      <c r="A7" s="493"/>
      <c r="B7" s="494"/>
      <c r="C7" s="479"/>
      <c r="D7" s="479"/>
      <c r="E7" s="118"/>
      <c r="F7" s="118"/>
      <c r="G7" s="118"/>
      <c r="H7" s="119"/>
    </row>
    <row r="8" spans="1:8" ht="15" customHeight="1">
      <c r="A8" s="106"/>
      <c r="B8" s="35">
        <v>411000</v>
      </c>
      <c r="C8" s="48"/>
      <c r="D8" s="120" t="s">
        <v>113</v>
      </c>
      <c r="E8" s="121">
        <f>SUM(E9)</f>
        <v>2500</v>
      </c>
      <c r="F8" s="122">
        <f>SUM(F9)</f>
        <v>2000</v>
      </c>
      <c r="G8" s="122">
        <f>IF(E8&gt;0,F8/E8*100,0)</f>
        <v>80</v>
      </c>
      <c r="H8" s="123">
        <f aca="true" t="shared" si="0" ref="H8:H21">F8/$F$608*100</f>
        <v>0.005934718100890208</v>
      </c>
    </row>
    <row r="9" spans="1:8" ht="13.5" customHeight="1">
      <c r="A9" s="106" t="s">
        <v>21</v>
      </c>
      <c r="B9" s="81"/>
      <c r="C9" s="124">
        <v>411200</v>
      </c>
      <c r="D9" s="57" t="s">
        <v>310</v>
      </c>
      <c r="E9" s="291">
        <v>2500</v>
      </c>
      <c r="F9" s="291">
        <v>2000</v>
      </c>
      <c r="G9" s="125">
        <f aca="true" t="shared" si="1" ref="G9:G21">IF(E9&gt;0,F9/E9*100,0)</f>
        <v>80</v>
      </c>
      <c r="H9" s="192">
        <f t="shared" si="0"/>
        <v>0.005934718100890208</v>
      </c>
    </row>
    <row r="10" spans="1:8" ht="14.25" customHeight="1">
      <c r="A10" s="106"/>
      <c r="B10" s="35">
        <v>412000</v>
      </c>
      <c r="C10" s="48"/>
      <c r="D10" s="120" t="s">
        <v>114</v>
      </c>
      <c r="E10" s="126">
        <f>SUM(E11:E17)</f>
        <v>314000</v>
      </c>
      <c r="F10" s="122">
        <f>SUM(F11:F17)</f>
        <v>465000</v>
      </c>
      <c r="G10" s="122">
        <f t="shared" si="1"/>
        <v>148.0891719745223</v>
      </c>
      <c r="H10" s="123">
        <f t="shared" si="0"/>
        <v>1.3798219584569733</v>
      </c>
    </row>
    <row r="11" spans="1:8" ht="12.75" customHeight="1">
      <c r="A11" s="106" t="s">
        <v>21</v>
      </c>
      <c r="B11" s="30"/>
      <c r="C11" s="48">
        <v>412900</v>
      </c>
      <c r="D11" s="70" t="s">
        <v>0</v>
      </c>
      <c r="E11" s="173">
        <v>12100</v>
      </c>
      <c r="F11" s="173">
        <v>10000</v>
      </c>
      <c r="G11" s="125">
        <f t="shared" si="1"/>
        <v>82.64462809917356</v>
      </c>
      <c r="H11" s="192">
        <f t="shared" si="0"/>
        <v>0.029673590504451036</v>
      </c>
    </row>
    <row r="12" spans="1:8" ht="12.75" customHeight="1">
      <c r="A12" s="106" t="s">
        <v>21</v>
      </c>
      <c r="B12" s="30"/>
      <c r="C12" s="48">
        <v>412900</v>
      </c>
      <c r="D12" s="70" t="s">
        <v>577</v>
      </c>
      <c r="E12" s="131">
        <v>1900</v>
      </c>
      <c r="F12" s="131">
        <v>8000</v>
      </c>
      <c r="G12" s="125">
        <f t="shared" si="1"/>
        <v>421.05263157894734</v>
      </c>
      <c r="H12" s="192">
        <f t="shared" si="0"/>
        <v>0.02373887240356083</v>
      </c>
    </row>
    <row r="13" spans="1:8" ht="12.75" customHeight="1" hidden="1">
      <c r="A13" s="106" t="s">
        <v>21</v>
      </c>
      <c r="B13" s="30"/>
      <c r="C13" s="48">
        <v>412900</v>
      </c>
      <c r="D13" s="70" t="s">
        <v>578</v>
      </c>
      <c r="E13" s="131">
        <v>0</v>
      </c>
      <c r="F13" s="131"/>
      <c r="G13" s="125">
        <f t="shared" si="1"/>
        <v>0</v>
      </c>
      <c r="H13" s="192">
        <f t="shared" si="0"/>
        <v>0</v>
      </c>
    </row>
    <row r="14" spans="1:8" ht="12.75" customHeight="1">
      <c r="A14" s="108" t="s">
        <v>21</v>
      </c>
      <c r="B14" s="30"/>
      <c r="C14" s="78">
        <v>412900</v>
      </c>
      <c r="D14" s="75" t="s">
        <v>89</v>
      </c>
      <c r="E14" s="131">
        <v>275000</v>
      </c>
      <c r="F14" s="131">
        <v>295000</v>
      </c>
      <c r="G14" s="125">
        <f t="shared" si="1"/>
        <v>107.27272727272728</v>
      </c>
      <c r="H14" s="192">
        <f t="shared" si="0"/>
        <v>0.8753709198813057</v>
      </c>
    </row>
    <row r="15" spans="1:8" ht="12.75" customHeight="1">
      <c r="A15" s="108" t="s">
        <v>21</v>
      </c>
      <c r="B15" s="30"/>
      <c r="C15" s="78">
        <v>412900</v>
      </c>
      <c r="D15" s="75" t="s">
        <v>171</v>
      </c>
      <c r="E15" s="131">
        <v>4000</v>
      </c>
      <c r="F15" s="131">
        <v>4000</v>
      </c>
      <c r="G15" s="125">
        <f t="shared" si="1"/>
        <v>100</v>
      </c>
      <c r="H15" s="192">
        <f t="shared" si="0"/>
        <v>0.011869436201780416</v>
      </c>
    </row>
    <row r="16" spans="1:8" ht="12.75" customHeight="1">
      <c r="A16" s="108" t="s">
        <v>23</v>
      </c>
      <c r="B16" s="30"/>
      <c r="C16" s="78">
        <v>412900</v>
      </c>
      <c r="D16" s="75" t="s">
        <v>581</v>
      </c>
      <c r="E16" s="129">
        <v>15680</v>
      </c>
      <c r="F16" s="129">
        <v>145000</v>
      </c>
      <c r="G16" s="125">
        <f t="shared" si="1"/>
        <v>924.7448979591837</v>
      </c>
      <c r="H16" s="192">
        <f t="shared" si="0"/>
        <v>0.43026706231454004</v>
      </c>
    </row>
    <row r="17" spans="1:8" ht="12.75" customHeight="1">
      <c r="A17" s="108" t="s">
        <v>21</v>
      </c>
      <c r="B17" s="30"/>
      <c r="C17" s="78">
        <v>412900</v>
      </c>
      <c r="D17" s="75" t="s">
        <v>123</v>
      </c>
      <c r="E17" s="125">
        <v>5320</v>
      </c>
      <c r="F17" s="129">
        <v>3000</v>
      </c>
      <c r="G17" s="125">
        <f t="shared" si="1"/>
        <v>56.390977443609025</v>
      </c>
      <c r="H17" s="192">
        <f t="shared" si="0"/>
        <v>0.008902077151335312</v>
      </c>
    </row>
    <row r="18" spans="1:8" ht="14.25" customHeight="1">
      <c r="A18" s="106"/>
      <c r="B18" s="35">
        <v>415000</v>
      </c>
      <c r="C18" s="48"/>
      <c r="D18" s="132" t="s">
        <v>128</v>
      </c>
      <c r="E18" s="126">
        <f>SUM(E19:E19)</f>
        <v>34000</v>
      </c>
      <c r="F18" s="122">
        <f>SUM(F19:F20)</f>
        <v>48225</v>
      </c>
      <c r="G18" s="122">
        <f t="shared" si="1"/>
        <v>141.83823529411765</v>
      </c>
      <c r="H18" s="123">
        <f t="shared" si="0"/>
        <v>0.14310089020771513</v>
      </c>
    </row>
    <row r="19" spans="1:8" ht="12" customHeight="1">
      <c r="A19" s="106" t="s">
        <v>23</v>
      </c>
      <c r="B19" s="30"/>
      <c r="C19" s="48">
        <v>415200</v>
      </c>
      <c r="D19" s="70" t="s">
        <v>195</v>
      </c>
      <c r="E19" s="131">
        <v>34000</v>
      </c>
      <c r="F19" s="173">
        <v>34225</v>
      </c>
      <c r="G19" s="125">
        <f t="shared" si="1"/>
        <v>100.66176470588235</v>
      </c>
      <c r="H19" s="192">
        <f t="shared" si="0"/>
        <v>0.10155786350148367</v>
      </c>
    </row>
    <row r="20" spans="1:8" ht="25.5">
      <c r="A20" s="106" t="s">
        <v>23</v>
      </c>
      <c r="B20" s="30"/>
      <c r="C20" s="48">
        <v>415200</v>
      </c>
      <c r="D20" s="70" t="s">
        <v>607</v>
      </c>
      <c r="E20" s="410">
        <v>0</v>
      </c>
      <c r="F20" s="410">
        <v>14000</v>
      </c>
      <c r="G20" s="125">
        <f>IF(E20&gt;0,F20/E20*100,0)</f>
        <v>0</v>
      </c>
      <c r="H20" s="192">
        <f t="shared" si="0"/>
        <v>0.04154302670623145</v>
      </c>
    </row>
    <row r="21" spans="1:8" ht="27" customHeight="1">
      <c r="A21" s="493"/>
      <c r="B21" s="494"/>
      <c r="C21" s="481" t="s">
        <v>75</v>
      </c>
      <c r="D21" s="481"/>
      <c r="E21" s="133">
        <f>E8+E10+E18</f>
        <v>350500</v>
      </c>
      <c r="F21" s="144">
        <f>F8+F10+F18</f>
        <v>515225</v>
      </c>
      <c r="G21" s="340">
        <f t="shared" si="1"/>
        <v>146.99714693295292</v>
      </c>
      <c r="H21" s="361">
        <f t="shared" si="0"/>
        <v>1.5288575667655786</v>
      </c>
    </row>
    <row r="22" spans="1:8" ht="9.75" customHeight="1">
      <c r="A22" s="493"/>
      <c r="B22" s="494"/>
      <c r="C22" s="479" t="s">
        <v>608</v>
      </c>
      <c r="D22" s="479"/>
      <c r="E22" s="135"/>
      <c r="F22" s="135"/>
      <c r="G22" s="135"/>
      <c r="H22" s="136"/>
    </row>
    <row r="23" spans="1:8" ht="9.75" customHeight="1">
      <c r="A23" s="493"/>
      <c r="B23" s="494"/>
      <c r="C23" s="479"/>
      <c r="D23" s="479"/>
      <c r="E23" s="137"/>
      <c r="F23" s="137"/>
      <c r="G23" s="137"/>
      <c r="H23" s="138"/>
    </row>
    <row r="24" spans="1:8" ht="25.5" customHeight="1">
      <c r="A24" s="493"/>
      <c r="B24" s="494"/>
      <c r="C24" s="479"/>
      <c r="D24" s="479"/>
      <c r="E24" s="139"/>
      <c r="F24" s="139"/>
      <c r="G24" s="139"/>
      <c r="H24" s="140"/>
    </row>
    <row r="25" spans="1:8" ht="15" customHeight="1">
      <c r="A25" s="106"/>
      <c r="B25" s="35">
        <v>411000</v>
      </c>
      <c r="C25" s="48"/>
      <c r="D25" s="120" t="s">
        <v>113</v>
      </c>
      <c r="E25" s="121">
        <f>SUM(E26)</f>
        <v>2000</v>
      </c>
      <c r="F25" s="121">
        <f>SUM(F26)</f>
        <v>2000</v>
      </c>
      <c r="G25" s="121">
        <f aca="true" t="shared" si="2" ref="G25:G41">IF(E25&gt;0,F25/E25*100,0)</f>
        <v>100</v>
      </c>
      <c r="H25" s="123">
        <f aca="true" t="shared" si="3" ref="H25:H41">F25/$F$608*100</f>
        <v>0.005934718100890208</v>
      </c>
    </row>
    <row r="26" spans="1:8" ht="12.75">
      <c r="A26" s="106" t="s">
        <v>21</v>
      </c>
      <c r="B26" s="81"/>
      <c r="C26" s="124">
        <v>411200</v>
      </c>
      <c r="D26" s="57" t="s">
        <v>310</v>
      </c>
      <c r="E26" s="141">
        <v>2000</v>
      </c>
      <c r="F26" s="141">
        <v>2000</v>
      </c>
      <c r="G26" s="142">
        <f t="shared" si="2"/>
        <v>100</v>
      </c>
      <c r="H26" s="192">
        <f t="shared" si="3"/>
        <v>0.005934718100890208</v>
      </c>
    </row>
    <row r="27" spans="1:8" ht="12" customHeight="1">
      <c r="A27" s="106"/>
      <c r="B27" s="35">
        <v>412000</v>
      </c>
      <c r="C27" s="48"/>
      <c r="D27" s="120" t="s">
        <v>114</v>
      </c>
      <c r="E27" s="126">
        <f>SUM(E28:E38)</f>
        <v>103600</v>
      </c>
      <c r="F27" s="121">
        <f>SUM(F28:F38)</f>
        <v>83000</v>
      </c>
      <c r="G27" s="121">
        <f t="shared" si="2"/>
        <v>80.11583011583011</v>
      </c>
      <c r="H27" s="123">
        <f t="shared" si="3"/>
        <v>0.24629080118694363</v>
      </c>
    </row>
    <row r="28" spans="1:8" ht="12.75" customHeight="1">
      <c r="A28" s="106" t="s">
        <v>21</v>
      </c>
      <c r="B28" s="109"/>
      <c r="C28" s="48">
        <v>412900</v>
      </c>
      <c r="D28" s="70" t="s">
        <v>0</v>
      </c>
      <c r="E28" s="131">
        <v>20000</v>
      </c>
      <c r="F28" s="131">
        <v>17000</v>
      </c>
      <c r="G28" s="142">
        <f t="shared" si="2"/>
        <v>85</v>
      </c>
      <c r="H28" s="192">
        <f t="shared" si="3"/>
        <v>0.050445103857566766</v>
      </c>
    </row>
    <row r="29" spans="1:8" ht="12.75" customHeight="1" hidden="1">
      <c r="A29" s="106" t="s">
        <v>21</v>
      </c>
      <c r="B29" s="109"/>
      <c r="C29" s="48">
        <v>412900</v>
      </c>
      <c r="D29" s="70" t="s">
        <v>413</v>
      </c>
      <c r="E29" s="131"/>
      <c r="F29" s="131"/>
      <c r="G29" s="142">
        <f t="shared" si="2"/>
        <v>0</v>
      </c>
      <c r="H29" s="192">
        <f t="shared" si="3"/>
        <v>0</v>
      </c>
    </row>
    <row r="30" spans="1:8" ht="12.75" customHeight="1">
      <c r="A30" s="106" t="s">
        <v>21</v>
      </c>
      <c r="B30" s="109"/>
      <c r="C30" s="78">
        <v>412900</v>
      </c>
      <c r="D30" s="75" t="s">
        <v>90</v>
      </c>
      <c r="E30" s="131">
        <v>6200</v>
      </c>
      <c r="F30" s="173">
        <v>6200</v>
      </c>
      <c r="G30" s="142">
        <f t="shared" si="2"/>
        <v>100</v>
      </c>
      <c r="H30" s="192">
        <f t="shared" si="3"/>
        <v>0.018397626112759642</v>
      </c>
    </row>
    <row r="31" spans="1:8" ht="12.75" customHeight="1" hidden="1">
      <c r="A31" s="106" t="s">
        <v>21</v>
      </c>
      <c r="B31" s="35"/>
      <c r="C31" s="59">
        <v>412900</v>
      </c>
      <c r="D31" s="143" t="s">
        <v>176</v>
      </c>
      <c r="E31" s="131"/>
      <c r="F31" s="173"/>
      <c r="G31" s="142">
        <f t="shared" si="2"/>
        <v>0</v>
      </c>
      <c r="H31" s="192">
        <f t="shared" si="3"/>
        <v>0</v>
      </c>
    </row>
    <row r="32" spans="1:8" ht="12" customHeight="1">
      <c r="A32" s="108" t="s">
        <v>21</v>
      </c>
      <c r="B32" s="109"/>
      <c r="C32" s="59">
        <v>412900</v>
      </c>
      <c r="D32" s="75" t="s">
        <v>220</v>
      </c>
      <c r="E32" s="131">
        <v>10000</v>
      </c>
      <c r="F32" s="173">
        <v>5000</v>
      </c>
      <c r="G32" s="142">
        <f t="shared" si="2"/>
        <v>50</v>
      </c>
      <c r="H32" s="192">
        <f t="shared" si="3"/>
        <v>0.014836795252225518</v>
      </c>
    </row>
    <row r="33" spans="1:8" ht="1.5" customHeight="1" hidden="1">
      <c r="A33" s="108" t="s">
        <v>21</v>
      </c>
      <c r="B33" s="109"/>
      <c r="C33" s="59">
        <v>412900</v>
      </c>
      <c r="D33" s="75" t="s">
        <v>123</v>
      </c>
      <c r="E33" s="131"/>
      <c r="F33" s="173"/>
      <c r="G33" s="142">
        <f t="shared" si="2"/>
        <v>0</v>
      </c>
      <c r="H33" s="192">
        <f t="shared" si="3"/>
        <v>0</v>
      </c>
    </row>
    <row r="34" spans="1:8" ht="12.75">
      <c r="A34" s="108" t="s">
        <v>21</v>
      </c>
      <c r="B34" s="109"/>
      <c r="C34" s="59">
        <v>412900</v>
      </c>
      <c r="D34" s="75" t="s">
        <v>582</v>
      </c>
      <c r="E34" s="131">
        <v>2500</v>
      </c>
      <c r="F34" s="173">
        <v>2500</v>
      </c>
      <c r="G34" s="142">
        <f t="shared" si="2"/>
        <v>100</v>
      </c>
      <c r="H34" s="192">
        <f t="shared" si="3"/>
        <v>0.007418397626112759</v>
      </c>
    </row>
    <row r="35" spans="1:8" ht="12.75">
      <c r="A35" s="108" t="s">
        <v>21</v>
      </c>
      <c r="B35" s="109"/>
      <c r="C35" s="59">
        <v>412900</v>
      </c>
      <c r="D35" s="75" t="s">
        <v>648</v>
      </c>
      <c r="E35" s="131">
        <v>600</v>
      </c>
      <c r="F35" s="173">
        <v>0</v>
      </c>
      <c r="G35" s="142">
        <f t="shared" si="2"/>
        <v>0</v>
      </c>
      <c r="H35" s="192">
        <f t="shared" si="3"/>
        <v>0</v>
      </c>
    </row>
    <row r="36" spans="1:8" ht="15" customHeight="1">
      <c r="A36" s="108" t="s">
        <v>21</v>
      </c>
      <c r="B36" s="109"/>
      <c r="C36" s="59">
        <v>412900</v>
      </c>
      <c r="D36" s="75" t="s">
        <v>357</v>
      </c>
      <c r="E36" s="131">
        <v>60000</v>
      </c>
      <c r="F36" s="173">
        <v>50000</v>
      </c>
      <c r="G36" s="142">
        <f t="shared" si="2"/>
        <v>83.33333333333334</v>
      </c>
      <c r="H36" s="192">
        <f t="shared" si="3"/>
        <v>0.1483679525222552</v>
      </c>
    </row>
    <row r="37" spans="1:8" ht="13.5" customHeight="1">
      <c r="A37" s="108" t="s">
        <v>21</v>
      </c>
      <c r="B37" s="109"/>
      <c r="C37" s="59">
        <v>412900</v>
      </c>
      <c r="D37" s="75" t="s">
        <v>430</v>
      </c>
      <c r="E37" s="131">
        <v>300</v>
      </c>
      <c r="F37" s="131">
        <v>300</v>
      </c>
      <c r="G37" s="142">
        <f t="shared" si="2"/>
        <v>100</v>
      </c>
      <c r="H37" s="192">
        <f t="shared" si="3"/>
        <v>0.0008902077151335312</v>
      </c>
    </row>
    <row r="38" spans="1:8" ht="13.5" customHeight="1">
      <c r="A38" s="108" t="s">
        <v>21</v>
      </c>
      <c r="B38" s="109"/>
      <c r="C38" s="59">
        <v>412900</v>
      </c>
      <c r="D38" s="75" t="s">
        <v>123</v>
      </c>
      <c r="E38" s="131">
        <v>4000</v>
      </c>
      <c r="F38" s="131">
        <v>2000</v>
      </c>
      <c r="G38" s="142">
        <f t="shared" si="2"/>
        <v>50</v>
      </c>
      <c r="H38" s="192">
        <f t="shared" si="3"/>
        <v>0.005934718100890208</v>
      </c>
    </row>
    <row r="39" spans="1:8" ht="15" customHeight="1">
      <c r="A39" s="108"/>
      <c r="B39" s="35">
        <v>416000</v>
      </c>
      <c r="C39" s="48"/>
      <c r="D39" s="120" t="s">
        <v>1</v>
      </c>
      <c r="E39" s="126">
        <f>SUM(E40)</f>
        <v>92157.23</v>
      </c>
      <c r="F39" s="121">
        <f>SUM(F40)</f>
        <v>0</v>
      </c>
      <c r="G39" s="121">
        <f t="shared" si="2"/>
        <v>0</v>
      </c>
      <c r="H39" s="123">
        <f t="shared" si="3"/>
        <v>0</v>
      </c>
    </row>
    <row r="40" spans="1:8" ht="15" customHeight="1">
      <c r="A40" s="108" t="s">
        <v>26</v>
      </c>
      <c r="B40" s="109"/>
      <c r="C40" s="59">
        <v>416100</v>
      </c>
      <c r="D40" s="75" t="s">
        <v>521</v>
      </c>
      <c r="E40" s="131">
        <v>92157.23</v>
      </c>
      <c r="F40" s="131">
        <v>0</v>
      </c>
      <c r="G40" s="142">
        <f t="shared" si="2"/>
        <v>0</v>
      </c>
      <c r="H40" s="192">
        <f t="shared" si="3"/>
        <v>0</v>
      </c>
    </row>
    <row r="41" spans="1:8" ht="24.75" customHeight="1">
      <c r="A41" s="493"/>
      <c r="B41" s="494"/>
      <c r="C41" s="481" t="s">
        <v>76</v>
      </c>
      <c r="D41" s="481"/>
      <c r="E41" s="144">
        <f>E25+E27+E39</f>
        <v>197757.22999999998</v>
      </c>
      <c r="F41" s="396">
        <f>F25+F27+F39</f>
        <v>85000</v>
      </c>
      <c r="G41" s="319">
        <f t="shared" si="2"/>
        <v>42.98199362925948</v>
      </c>
      <c r="H41" s="361">
        <f t="shared" si="3"/>
        <v>0.2522255192878338</v>
      </c>
    </row>
    <row r="42" spans="1:8" ht="12.75" customHeight="1">
      <c r="A42" s="146"/>
      <c r="B42" s="147"/>
      <c r="C42" s="487" t="s">
        <v>519</v>
      </c>
      <c r="D42" s="488"/>
      <c r="E42" s="148"/>
      <c r="F42" s="148"/>
      <c r="G42" s="148"/>
      <c r="H42" s="149"/>
    </row>
    <row r="43" spans="1:8" ht="12.75">
      <c r="A43" s="150"/>
      <c r="B43" s="151"/>
      <c r="C43" s="489"/>
      <c r="D43" s="490"/>
      <c r="E43" s="152"/>
      <c r="F43" s="152"/>
      <c r="G43" s="152"/>
      <c r="H43" s="153"/>
    </row>
    <row r="44" spans="1:8" ht="17.25" customHeight="1">
      <c r="A44" s="154"/>
      <c r="B44" s="155"/>
      <c r="C44" s="491"/>
      <c r="D44" s="492"/>
      <c r="E44" s="156"/>
      <c r="F44" s="156"/>
      <c r="G44" s="156"/>
      <c r="H44" s="157"/>
    </row>
    <row r="45" spans="1:8" ht="12.75">
      <c r="A45" s="106"/>
      <c r="B45" s="35">
        <v>412000</v>
      </c>
      <c r="C45" s="48"/>
      <c r="D45" s="120" t="s">
        <v>114</v>
      </c>
      <c r="E45" s="122">
        <f>SUM(E46:E51)</f>
        <v>36730</v>
      </c>
      <c r="F45" s="122">
        <f>SUM(F46:F51)</f>
        <v>34730</v>
      </c>
      <c r="G45" s="122">
        <f aca="true" t="shared" si="4" ref="G45:G60">IF(E45&gt;0,F45/E45*100,0)</f>
        <v>94.55485978763953</v>
      </c>
      <c r="H45" s="158">
        <f aca="true" t="shared" si="5" ref="H45:H60">F45/$F$608*100</f>
        <v>0.10305637982195846</v>
      </c>
    </row>
    <row r="46" spans="1:8" ht="25.5">
      <c r="A46" s="106" t="s">
        <v>51</v>
      </c>
      <c r="B46" s="35"/>
      <c r="C46" s="48">
        <v>412200</v>
      </c>
      <c r="D46" s="70" t="s">
        <v>116</v>
      </c>
      <c r="E46" s="129">
        <v>16600</v>
      </c>
      <c r="F46" s="129">
        <v>17900</v>
      </c>
      <c r="G46" s="125">
        <f t="shared" si="4"/>
        <v>107.83132530120483</v>
      </c>
      <c r="H46" s="356">
        <f t="shared" si="5"/>
        <v>0.053115727002967364</v>
      </c>
    </row>
    <row r="47" spans="1:8" ht="12.75">
      <c r="A47" s="106" t="s">
        <v>51</v>
      </c>
      <c r="B47" s="35"/>
      <c r="C47" s="48">
        <v>412300</v>
      </c>
      <c r="D47" s="109" t="s">
        <v>117</v>
      </c>
      <c r="E47" s="129">
        <v>1000</v>
      </c>
      <c r="F47" s="129">
        <v>1100</v>
      </c>
      <c r="G47" s="125">
        <f t="shared" si="4"/>
        <v>110.00000000000001</v>
      </c>
      <c r="H47" s="356">
        <f t="shared" si="5"/>
        <v>0.0032640949554896144</v>
      </c>
    </row>
    <row r="48" spans="1:8" ht="12.75">
      <c r="A48" s="106" t="s">
        <v>51</v>
      </c>
      <c r="B48" s="35"/>
      <c r="C48" s="48">
        <v>412400</v>
      </c>
      <c r="D48" s="70" t="s">
        <v>118</v>
      </c>
      <c r="E48" s="129">
        <v>650</v>
      </c>
      <c r="F48" s="129">
        <v>1400</v>
      </c>
      <c r="G48" s="125">
        <f t="shared" si="4"/>
        <v>215.3846153846154</v>
      </c>
      <c r="H48" s="356">
        <f t="shared" si="5"/>
        <v>0.004154302670623146</v>
      </c>
    </row>
    <row r="49" spans="1:8" ht="12.75">
      <c r="A49" s="106" t="s">
        <v>51</v>
      </c>
      <c r="B49" s="35"/>
      <c r="C49" s="109">
        <v>412700</v>
      </c>
      <c r="D49" s="109" t="s">
        <v>121</v>
      </c>
      <c r="E49" s="129">
        <v>8650</v>
      </c>
      <c r="F49" s="129">
        <v>5000</v>
      </c>
      <c r="G49" s="125">
        <f t="shared" si="4"/>
        <v>57.80346820809249</v>
      </c>
      <c r="H49" s="356">
        <f t="shared" si="5"/>
        <v>0.014836795252225518</v>
      </c>
    </row>
    <row r="50" spans="1:8" ht="12.75">
      <c r="A50" s="106" t="s">
        <v>51</v>
      </c>
      <c r="B50" s="35"/>
      <c r="C50" s="109">
        <v>412900</v>
      </c>
      <c r="D50" s="109" t="s">
        <v>0</v>
      </c>
      <c r="E50" s="129">
        <v>400</v>
      </c>
      <c r="F50" s="129">
        <v>400</v>
      </c>
      <c r="G50" s="125">
        <f t="shared" si="4"/>
        <v>100</v>
      </c>
      <c r="H50" s="356">
        <f t="shared" si="5"/>
        <v>0.0011869436201780415</v>
      </c>
    </row>
    <row r="51" spans="1:8" ht="12.75">
      <c r="A51" s="106" t="s">
        <v>51</v>
      </c>
      <c r="B51" s="35"/>
      <c r="C51" s="109">
        <v>412900</v>
      </c>
      <c r="D51" s="109" t="s">
        <v>123</v>
      </c>
      <c r="E51" s="131">
        <v>9430</v>
      </c>
      <c r="F51" s="131">
        <v>8930</v>
      </c>
      <c r="G51" s="125">
        <f t="shared" si="4"/>
        <v>94.69777306468717</v>
      </c>
      <c r="H51" s="356">
        <f t="shared" si="5"/>
        <v>0.026498516320474775</v>
      </c>
    </row>
    <row r="52" spans="1:8" ht="12.75">
      <c r="A52" s="106"/>
      <c r="B52" s="35">
        <v>415000</v>
      </c>
      <c r="C52" s="109"/>
      <c r="D52" s="132" t="s">
        <v>128</v>
      </c>
      <c r="E52" s="160">
        <f>SUM(E53:E53)</f>
        <v>1000</v>
      </c>
      <c r="F52" s="122">
        <f>SUM(F53:F53)</f>
        <v>1000</v>
      </c>
      <c r="G52" s="122">
        <f t="shared" si="4"/>
        <v>100</v>
      </c>
      <c r="H52" s="158">
        <f t="shared" si="5"/>
        <v>0.002967359050445104</v>
      </c>
    </row>
    <row r="53" spans="1:8" ht="14.25" customHeight="1">
      <c r="A53" s="106" t="s">
        <v>51</v>
      </c>
      <c r="B53" s="35"/>
      <c r="C53" s="109">
        <v>415200</v>
      </c>
      <c r="D53" s="70" t="s">
        <v>609</v>
      </c>
      <c r="E53" s="131">
        <v>1000</v>
      </c>
      <c r="F53" s="131">
        <v>1000</v>
      </c>
      <c r="G53" s="125">
        <f t="shared" si="4"/>
        <v>100</v>
      </c>
      <c r="H53" s="356">
        <f t="shared" si="5"/>
        <v>0.002967359050445104</v>
      </c>
    </row>
    <row r="54" spans="1:8" ht="26.25" customHeight="1">
      <c r="A54" s="106"/>
      <c r="B54" s="35"/>
      <c r="C54" s="48"/>
      <c r="D54" s="120" t="s">
        <v>427</v>
      </c>
      <c r="E54" s="160">
        <f>SUM(E55:E59)</f>
        <v>414070</v>
      </c>
      <c r="F54" s="122">
        <f>SUM(F55:F59)</f>
        <v>500000</v>
      </c>
      <c r="G54" s="122">
        <f t="shared" si="4"/>
        <v>120.7525297654986</v>
      </c>
      <c r="H54" s="158">
        <f t="shared" si="5"/>
        <v>1.483679525222552</v>
      </c>
    </row>
    <row r="55" spans="1:8" ht="12.75">
      <c r="A55" s="106" t="s">
        <v>51</v>
      </c>
      <c r="B55" s="35"/>
      <c r="C55" s="48">
        <v>412500</v>
      </c>
      <c r="D55" s="70" t="s">
        <v>119</v>
      </c>
      <c r="E55" s="131">
        <v>10000</v>
      </c>
      <c r="F55" s="131">
        <v>10000</v>
      </c>
      <c r="G55" s="125">
        <f t="shared" si="4"/>
        <v>100</v>
      </c>
      <c r="H55" s="356">
        <f t="shared" si="5"/>
        <v>0.029673590504451036</v>
      </c>
    </row>
    <row r="56" spans="1:8" ht="15" customHeight="1">
      <c r="A56" s="106" t="s">
        <v>51</v>
      </c>
      <c r="B56" s="35"/>
      <c r="C56" s="48">
        <v>511200</v>
      </c>
      <c r="D56" s="102" t="s">
        <v>583</v>
      </c>
      <c r="E56" s="131">
        <v>5000</v>
      </c>
      <c r="F56" s="131">
        <v>3000</v>
      </c>
      <c r="G56" s="125">
        <f t="shared" si="4"/>
        <v>60</v>
      </c>
      <c r="H56" s="356">
        <f t="shared" si="5"/>
        <v>0.008902077151335312</v>
      </c>
    </row>
    <row r="57" spans="1:8" ht="12.75">
      <c r="A57" s="106" t="s">
        <v>51</v>
      </c>
      <c r="B57" s="35"/>
      <c r="C57" s="48">
        <v>511300</v>
      </c>
      <c r="D57" s="75" t="s">
        <v>2</v>
      </c>
      <c r="E57" s="131">
        <v>374070</v>
      </c>
      <c r="F57" s="131">
        <v>395000</v>
      </c>
      <c r="G57" s="125">
        <f t="shared" si="4"/>
        <v>105.59520945277623</v>
      </c>
      <c r="H57" s="356">
        <f t="shared" si="5"/>
        <v>1.172106824925816</v>
      </c>
    </row>
    <row r="58" spans="1:8" ht="12.75">
      <c r="A58" s="113" t="s">
        <v>51</v>
      </c>
      <c r="B58" s="35"/>
      <c r="C58" s="48">
        <v>511400</v>
      </c>
      <c r="D58" s="75" t="s">
        <v>266</v>
      </c>
      <c r="E58" s="129">
        <v>10000</v>
      </c>
      <c r="F58" s="129">
        <v>2000</v>
      </c>
      <c r="G58" s="125">
        <f t="shared" si="4"/>
        <v>20</v>
      </c>
      <c r="H58" s="356">
        <f t="shared" si="5"/>
        <v>0.005934718100890208</v>
      </c>
    </row>
    <row r="59" spans="1:8" ht="12.75">
      <c r="A59" s="113" t="s">
        <v>51</v>
      </c>
      <c r="B59" s="35"/>
      <c r="C59" s="48">
        <v>516100</v>
      </c>
      <c r="D59" s="75" t="s">
        <v>224</v>
      </c>
      <c r="E59" s="129">
        <v>15000</v>
      </c>
      <c r="F59" s="129">
        <v>90000</v>
      </c>
      <c r="G59" s="125">
        <f t="shared" si="4"/>
        <v>600</v>
      </c>
      <c r="H59" s="356">
        <f t="shared" si="5"/>
        <v>0.26706231454005935</v>
      </c>
    </row>
    <row r="60" spans="1:8" ht="26.25" customHeight="1">
      <c r="A60" s="493"/>
      <c r="B60" s="494"/>
      <c r="C60" s="481" t="s">
        <v>246</v>
      </c>
      <c r="D60" s="482"/>
      <c r="E60" s="144">
        <f>E45+E52+E54</f>
        <v>451800</v>
      </c>
      <c r="F60" s="397">
        <f>F45+F52+F54</f>
        <v>535730</v>
      </c>
      <c r="G60" s="340">
        <f t="shared" si="4"/>
        <v>118.576803895529</v>
      </c>
      <c r="H60" s="320">
        <f t="shared" si="5"/>
        <v>1.5897032640949555</v>
      </c>
    </row>
    <row r="61" spans="1:8" ht="12.75">
      <c r="A61" s="499"/>
      <c r="B61" s="500"/>
      <c r="C61" s="487" t="s">
        <v>490</v>
      </c>
      <c r="D61" s="488"/>
      <c r="E61" s="163"/>
      <c r="F61" s="163"/>
      <c r="G61" s="163"/>
      <c r="H61" s="164"/>
    </row>
    <row r="62" spans="1:8" ht="12.75">
      <c r="A62" s="501"/>
      <c r="B62" s="502"/>
      <c r="C62" s="489"/>
      <c r="D62" s="490"/>
      <c r="E62" s="165"/>
      <c r="F62" s="165"/>
      <c r="G62" s="165"/>
      <c r="H62" s="166"/>
    </row>
    <row r="63" spans="1:8" ht="16.5" customHeight="1">
      <c r="A63" s="503"/>
      <c r="B63" s="504"/>
      <c r="C63" s="491"/>
      <c r="D63" s="492"/>
      <c r="E63" s="165"/>
      <c r="F63" s="165"/>
      <c r="G63" s="165"/>
      <c r="H63" s="166"/>
    </row>
    <row r="64" spans="1:8" ht="12.75">
      <c r="A64" s="106"/>
      <c r="B64" s="167" t="s">
        <v>328</v>
      </c>
      <c r="C64" s="168"/>
      <c r="D64" s="169" t="s">
        <v>114</v>
      </c>
      <c r="E64" s="160">
        <f>SUM(E65:E67)</f>
        <v>2000</v>
      </c>
      <c r="F64" s="160">
        <f>SUM(F65:F67)</f>
        <v>4000</v>
      </c>
      <c r="G64" s="160">
        <f aca="true" t="shared" si="6" ref="G64:G73">IF(E64&gt;0,F64/E64*100,0)</f>
        <v>200</v>
      </c>
      <c r="H64" s="127">
        <f aca="true" t="shared" si="7" ref="H64:H73">F64/$F$608*100</f>
        <v>0.011869436201780416</v>
      </c>
    </row>
    <row r="65" spans="1:8" ht="12.75">
      <c r="A65" s="106" t="s">
        <v>51</v>
      </c>
      <c r="B65" s="35"/>
      <c r="C65" s="59">
        <v>412900</v>
      </c>
      <c r="D65" s="70" t="s">
        <v>250</v>
      </c>
      <c r="E65" s="125">
        <v>0</v>
      </c>
      <c r="F65" s="125">
        <v>2000</v>
      </c>
      <c r="G65" s="171">
        <f t="shared" si="6"/>
        <v>0</v>
      </c>
      <c r="H65" s="52">
        <f t="shared" si="7"/>
        <v>0.005934718100890208</v>
      </c>
    </row>
    <row r="66" spans="1:8" ht="26.25" customHeight="1">
      <c r="A66" s="106" t="s">
        <v>51</v>
      </c>
      <c r="B66" s="35"/>
      <c r="C66" s="59">
        <v>412900</v>
      </c>
      <c r="D66" s="70" t="s">
        <v>273</v>
      </c>
      <c r="E66" s="125">
        <v>2000</v>
      </c>
      <c r="F66" s="125">
        <v>2000</v>
      </c>
      <c r="G66" s="171">
        <f t="shared" si="6"/>
        <v>100</v>
      </c>
      <c r="H66" s="52">
        <f t="shared" si="7"/>
        <v>0.005934718100890208</v>
      </c>
    </row>
    <row r="67" spans="1:8" ht="0.75" customHeight="1" hidden="1">
      <c r="A67" s="106" t="s">
        <v>51</v>
      </c>
      <c r="B67" s="35"/>
      <c r="C67" s="59">
        <v>412900</v>
      </c>
      <c r="D67" s="70" t="s">
        <v>399</v>
      </c>
      <c r="E67" s="172">
        <v>0</v>
      </c>
      <c r="F67" s="172">
        <v>0</v>
      </c>
      <c r="G67" s="160">
        <f t="shared" si="6"/>
        <v>0</v>
      </c>
      <c r="H67" s="127">
        <f t="shared" si="7"/>
        <v>0</v>
      </c>
    </row>
    <row r="68" spans="1:8" ht="12.75">
      <c r="A68" s="106"/>
      <c r="B68" s="35">
        <v>416000</v>
      </c>
      <c r="C68" s="59"/>
      <c r="D68" s="120" t="s">
        <v>1</v>
      </c>
      <c r="E68" s="160">
        <f>SUM(E69:E70)</f>
        <v>5000</v>
      </c>
      <c r="F68" s="160">
        <f>SUM(F69:F70)</f>
        <v>5000</v>
      </c>
      <c r="G68" s="160">
        <f t="shared" si="6"/>
        <v>100</v>
      </c>
      <c r="H68" s="127">
        <f t="shared" si="7"/>
        <v>0.014836795252225518</v>
      </c>
    </row>
    <row r="69" spans="1:8" ht="13.5" customHeight="1">
      <c r="A69" s="106" t="s">
        <v>51</v>
      </c>
      <c r="B69" s="35"/>
      <c r="C69" s="59">
        <v>416100</v>
      </c>
      <c r="D69" s="70" t="s">
        <v>186</v>
      </c>
      <c r="E69" s="173">
        <v>5000</v>
      </c>
      <c r="F69" s="173">
        <v>5000</v>
      </c>
      <c r="G69" s="171">
        <f t="shared" si="6"/>
        <v>100</v>
      </c>
      <c r="H69" s="52">
        <f t="shared" si="7"/>
        <v>0.014836795252225518</v>
      </c>
    </row>
    <row r="70" spans="1:8" ht="19.5" customHeight="1" hidden="1">
      <c r="A70" s="106" t="s">
        <v>51</v>
      </c>
      <c r="B70" s="35"/>
      <c r="C70" s="59">
        <v>416100</v>
      </c>
      <c r="D70" s="70" t="s">
        <v>402</v>
      </c>
      <c r="E70" s="173">
        <v>0</v>
      </c>
      <c r="F70" s="173">
        <v>0</v>
      </c>
      <c r="G70" s="160">
        <f t="shared" si="6"/>
        <v>0</v>
      </c>
      <c r="H70" s="127">
        <f t="shared" si="7"/>
        <v>0</v>
      </c>
    </row>
    <row r="71" spans="1:8" ht="12.75">
      <c r="A71" s="106"/>
      <c r="B71" s="35">
        <v>511000</v>
      </c>
      <c r="C71" s="59"/>
      <c r="D71" s="120" t="s">
        <v>130</v>
      </c>
      <c r="E71" s="160">
        <f>SUM(E72)</f>
        <v>6000</v>
      </c>
      <c r="F71" s="160">
        <f>SUM(F72)</f>
        <v>6000</v>
      </c>
      <c r="G71" s="160">
        <f t="shared" si="6"/>
        <v>100</v>
      </c>
      <c r="H71" s="127">
        <f t="shared" si="7"/>
        <v>0.017804154302670624</v>
      </c>
    </row>
    <row r="72" spans="1:8" ht="12.75">
      <c r="A72" s="106" t="s">
        <v>51</v>
      </c>
      <c r="B72" s="35"/>
      <c r="C72" s="59">
        <v>511300</v>
      </c>
      <c r="D72" s="70" t="s">
        <v>251</v>
      </c>
      <c r="E72" s="173">
        <v>6000</v>
      </c>
      <c r="F72" s="173">
        <v>6000</v>
      </c>
      <c r="G72" s="171">
        <f t="shared" si="6"/>
        <v>100</v>
      </c>
      <c r="H72" s="52">
        <f t="shared" si="7"/>
        <v>0.017804154302670624</v>
      </c>
    </row>
    <row r="73" spans="1:8" ht="28.5" customHeight="1">
      <c r="A73" s="493"/>
      <c r="B73" s="494"/>
      <c r="C73" s="481" t="s">
        <v>397</v>
      </c>
      <c r="D73" s="481"/>
      <c r="E73" s="144">
        <f>E64+E68+E71</f>
        <v>13000</v>
      </c>
      <c r="F73" s="398">
        <f>F64+F68+F71</f>
        <v>15000</v>
      </c>
      <c r="G73" s="341">
        <f t="shared" si="6"/>
        <v>115.38461538461537</v>
      </c>
      <c r="H73" s="362">
        <f t="shared" si="7"/>
        <v>0.044510385756676554</v>
      </c>
    </row>
    <row r="74" spans="1:8" ht="9.75" customHeight="1">
      <c r="A74" s="493"/>
      <c r="B74" s="494"/>
      <c r="C74" s="479" t="s">
        <v>489</v>
      </c>
      <c r="D74" s="479"/>
      <c r="E74" s="174"/>
      <c r="F74" s="174"/>
      <c r="G74" s="174"/>
      <c r="H74" s="175"/>
    </row>
    <row r="75" spans="1:8" ht="9.75" customHeight="1">
      <c r="A75" s="493"/>
      <c r="B75" s="494"/>
      <c r="C75" s="479"/>
      <c r="D75" s="479"/>
      <c r="E75" s="176"/>
      <c r="F75" s="176"/>
      <c r="G75" s="176"/>
      <c r="H75" s="177"/>
    </row>
    <row r="76" spans="1:8" ht="24" customHeight="1">
      <c r="A76" s="493"/>
      <c r="B76" s="494"/>
      <c r="C76" s="479"/>
      <c r="D76" s="479"/>
      <c r="E76" s="178"/>
      <c r="F76" s="178"/>
      <c r="G76" s="178"/>
      <c r="H76" s="179"/>
    </row>
    <row r="77" spans="1:8" ht="14.25" customHeight="1">
      <c r="A77" s="106"/>
      <c r="B77" s="35">
        <v>412000</v>
      </c>
      <c r="C77" s="41"/>
      <c r="D77" s="120" t="s">
        <v>114</v>
      </c>
      <c r="E77" s="122">
        <f>SUM(E78:E83)</f>
        <v>32400</v>
      </c>
      <c r="F77" s="122">
        <f>SUM(F78:F83)</f>
        <v>43000</v>
      </c>
      <c r="G77" s="122">
        <f aca="true" t="shared" si="8" ref="G77:G89">IF(E77&gt;0,F77/E77*100,0)</f>
        <v>132.71604938271605</v>
      </c>
      <c r="H77" s="123">
        <f aca="true" t="shared" si="9" ref="H77:H89">F77/$F$608*100</f>
        <v>0.12759643916913946</v>
      </c>
    </row>
    <row r="78" spans="1:8" ht="12.75" customHeight="1">
      <c r="A78" s="106" t="s">
        <v>21</v>
      </c>
      <c r="B78" s="109"/>
      <c r="C78" s="48">
        <v>412700</v>
      </c>
      <c r="D78" s="109" t="s">
        <v>135</v>
      </c>
      <c r="E78" s="129">
        <v>4000</v>
      </c>
      <c r="F78" s="129">
        <v>4500</v>
      </c>
      <c r="G78" s="125">
        <f t="shared" si="8"/>
        <v>112.5</v>
      </c>
      <c r="H78" s="192">
        <f t="shared" si="9"/>
        <v>0.013353115727002967</v>
      </c>
    </row>
    <row r="79" spans="1:8" ht="12.75" customHeight="1">
      <c r="A79" s="106" t="s">
        <v>30</v>
      </c>
      <c r="B79" s="109"/>
      <c r="C79" s="48">
        <v>412700</v>
      </c>
      <c r="D79" s="109" t="s">
        <v>101</v>
      </c>
      <c r="E79" s="129">
        <v>13300</v>
      </c>
      <c r="F79" s="129">
        <v>12500</v>
      </c>
      <c r="G79" s="125">
        <f t="shared" si="8"/>
        <v>93.98496240601504</v>
      </c>
      <c r="H79" s="192">
        <f t="shared" si="9"/>
        <v>0.0370919881305638</v>
      </c>
    </row>
    <row r="80" spans="1:8" ht="12.75" customHeight="1">
      <c r="A80" s="106" t="s">
        <v>21</v>
      </c>
      <c r="B80" s="109"/>
      <c r="C80" s="48">
        <v>412900</v>
      </c>
      <c r="D80" s="70" t="s">
        <v>0</v>
      </c>
      <c r="E80" s="129">
        <v>300</v>
      </c>
      <c r="F80" s="129">
        <v>400</v>
      </c>
      <c r="G80" s="125">
        <f t="shared" si="8"/>
        <v>133.33333333333331</v>
      </c>
      <c r="H80" s="192">
        <f t="shared" si="9"/>
        <v>0.0011869436201780415</v>
      </c>
    </row>
    <row r="81" spans="1:8" ht="12.75" customHeight="1">
      <c r="A81" s="106" t="s">
        <v>21</v>
      </c>
      <c r="B81" s="109"/>
      <c r="C81" s="48">
        <v>412900</v>
      </c>
      <c r="D81" s="75" t="s">
        <v>172</v>
      </c>
      <c r="E81" s="129">
        <v>12300</v>
      </c>
      <c r="F81" s="173">
        <v>17500</v>
      </c>
      <c r="G81" s="125">
        <f t="shared" si="8"/>
        <v>142.27642276422765</v>
      </c>
      <c r="H81" s="192">
        <f t="shared" si="9"/>
        <v>0.05192878338278931</v>
      </c>
    </row>
    <row r="82" spans="1:8" ht="14.25" customHeight="1">
      <c r="A82" s="106" t="s">
        <v>21</v>
      </c>
      <c r="B82" s="109"/>
      <c r="C82" s="182">
        <v>412900</v>
      </c>
      <c r="D82" s="75" t="s">
        <v>404</v>
      </c>
      <c r="E82" s="129">
        <v>0</v>
      </c>
      <c r="F82" s="131">
        <v>6000</v>
      </c>
      <c r="G82" s="125">
        <f t="shared" si="8"/>
        <v>0</v>
      </c>
      <c r="H82" s="192">
        <f t="shared" si="9"/>
        <v>0.017804154302670624</v>
      </c>
    </row>
    <row r="83" spans="1:8" ht="14.25" customHeight="1">
      <c r="A83" s="106" t="s">
        <v>21</v>
      </c>
      <c r="B83" s="109"/>
      <c r="C83" s="182">
        <v>412900</v>
      </c>
      <c r="D83" s="75" t="s">
        <v>123</v>
      </c>
      <c r="E83" s="129">
        <v>2500</v>
      </c>
      <c r="F83" s="129">
        <v>2100</v>
      </c>
      <c r="G83" s="125">
        <f t="shared" si="8"/>
        <v>84</v>
      </c>
      <c r="H83" s="192">
        <f t="shared" si="9"/>
        <v>0.006231454005934718</v>
      </c>
    </row>
    <row r="84" spans="1:8" ht="14.25" customHeight="1">
      <c r="A84" s="106"/>
      <c r="B84" s="109"/>
      <c r="C84" s="48"/>
      <c r="D84" s="74" t="s">
        <v>112</v>
      </c>
      <c r="E84" s="160">
        <f>SUM(E85:E88)</f>
        <v>12496.6</v>
      </c>
      <c r="F84" s="122">
        <f>SUM(F85:F88)</f>
        <v>12000</v>
      </c>
      <c r="G84" s="122">
        <f t="shared" si="8"/>
        <v>96.02611910439639</v>
      </c>
      <c r="H84" s="123">
        <f t="shared" si="9"/>
        <v>0.03560830860534125</v>
      </c>
    </row>
    <row r="85" spans="1:8" ht="14.25" customHeight="1">
      <c r="A85" s="106" t="s">
        <v>32</v>
      </c>
      <c r="B85" s="109"/>
      <c r="C85" s="48">
        <v>412300</v>
      </c>
      <c r="D85" s="75" t="s">
        <v>218</v>
      </c>
      <c r="E85" s="129">
        <v>1000</v>
      </c>
      <c r="F85" s="129">
        <v>1000</v>
      </c>
      <c r="G85" s="125">
        <f t="shared" si="8"/>
        <v>100</v>
      </c>
      <c r="H85" s="192">
        <f t="shared" si="9"/>
        <v>0.002967359050445104</v>
      </c>
    </row>
    <row r="86" spans="1:8" ht="13.5" customHeight="1">
      <c r="A86" s="108" t="s">
        <v>32</v>
      </c>
      <c r="B86" s="180"/>
      <c r="C86" s="78">
        <v>412500</v>
      </c>
      <c r="D86" s="75" t="s">
        <v>211</v>
      </c>
      <c r="E86" s="131">
        <v>7000</v>
      </c>
      <c r="F86" s="131">
        <v>7000</v>
      </c>
      <c r="G86" s="125">
        <f t="shared" si="8"/>
        <v>100</v>
      </c>
      <c r="H86" s="192">
        <f t="shared" si="9"/>
        <v>0.020771513353115726</v>
      </c>
    </row>
    <row r="87" spans="1:8" ht="12.75" customHeight="1">
      <c r="A87" s="106" t="s">
        <v>32</v>
      </c>
      <c r="B87" s="109"/>
      <c r="C87" s="48">
        <v>412900</v>
      </c>
      <c r="D87" s="75" t="s">
        <v>212</v>
      </c>
      <c r="E87" s="131">
        <v>4000</v>
      </c>
      <c r="F87" s="131">
        <v>4000</v>
      </c>
      <c r="G87" s="125">
        <f t="shared" si="8"/>
        <v>100</v>
      </c>
      <c r="H87" s="192">
        <f t="shared" si="9"/>
        <v>0.011869436201780416</v>
      </c>
    </row>
    <row r="88" spans="1:8" ht="24" customHeight="1">
      <c r="A88" s="106" t="s">
        <v>32</v>
      </c>
      <c r="B88" s="109"/>
      <c r="C88" s="48">
        <v>412900</v>
      </c>
      <c r="D88" s="75" t="s">
        <v>541</v>
      </c>
      <c r="E88" s="131">
        <v>496.6</v>
      </c>
      <c r="F88" s="131">
        <v>0</v>
      </c>
      <c r="G88" s="125">
        <f t="shared" si="8"/>
        <v>0</v>
      </c>
      <c r="H88" s="192">
        <f t="shared" si="9"/>
        <v>0</v>
      </c>
    </row>
    <row r="89" spans="1:8" ht="25.5" customHeight="1">
      <c r="A89" s="495"/>
      <c r="B89" s="496"/>
      <c r="C89" s="481" t="s">
        <v>77</v>
      </c>
      <c r="D89" s="482"/>
      <c r="E89" s="144">
        <f>E77+E84</f>
        <v>44896.6</v>
      </c>
      <c r="F89" s="397">
        <f>F77+F84</f>
        <v>55000</v>
      </c>
      <c r="G89" s="340">
        <f t="shared" si="8"/>
        <v>122.50370852135796</v>
      </c>
      <c r="H89" s="361">
        <f t="shared" si="9"/>
        <v>0.1632047477744807</v>
      </c>
    </row>
    <row r="90" spans="1:8" ht="9.75" customHeight="1">
      <c r="A90" s="493"/>
      <c r="B90" s="494"/>
      <c r="C90" s="479" t="s">
        <v>488</v>
      </c>
      <c r="D90" s="479"/>
      <c r="E90" s="174"/>
      <c r="F90" s="174"/>
      <c r="G90" s="174"/>
      <c r="H90" s="175"/>
    </row>
    <row r="91" spans="1:8" ht="9.75" customHeight="1">
      <c r="A91" s="493"/>
      <c r="B91" s="494"/>
      <c r="C91" s="479"/>
      <c r="D91" s="479"/>
      <c r="E91" s="176"/>
      <c r="F91" s="176"/>
      <c r="G91" s="176"/>
      <c r="H91" s="177"/>
    </row>
    <row r="92" spans="1:8" ht="21.75" customHeight="1">
      <c r="A92" s="493"/>
      <c r="B92" s="494"/>
      <c r="C92" s="479"/>
      <c r="D92" s="479"/>
      <c r="E92" s="178"/>
      <c r="F92" s="178"/>
      <c r="G92" s="178"/>
      <c r="H92" s="179"/>
    </row>
    <row r="93" spans="1:8" ht="16.5" customHeight="1">
      <c r="A93" s="106"/>
      <c r="B93" s="35">
        <v>411000</v>
      </c>
      <c r="C93" s="181"/>
      <c r="D93" s="53" t="s">
        <v>584</v>
      </c>
      <c r="E93" s="121">
        <f>SUM(E94:E97)</f>
        <v>4635000</v>
      </c>
      <c r="F93" s="122">
        <f>SUM(F94:F97)</f>
        <v>4739000</v>
      </c>
      <c r="G93" s="122">
        <f aca="true" t="shared" si="10" ref="G93:G107">IF(E93&gt;0,F93/E93*100,0)</f>
        <v>102.24379719525352</v>
      </c>
      <c r="H93" s="123">
        <f aca="true" t="shared" si="11" ref="H93:H107">F93/$F$608*100</f>
        <v>14.062314540059347</v>
      </c>
    </row>
    <row r="94" spans="1:8" ht="12.75" customHeight="1">
      <c r="A94" s="106" t="s">
        <v>21</v>
      </c>
      <c r="B94" s="109"/>
      <c r="C94" s="48">
        <v>411100</v>
      </c>
      <c r="D94" s="54" t="s">
        <v>293</v>
      </c>
      <c r="E94" s="173">
        <v>3475000</v>
      </c>
      <c r="F94" s="173">
        <v>3492000</v>
      </c>
      <c r="G94" s="125">
        <f t="shared" si="10"/>
        <v>100.48920863309351</v>
      </c>
      <c r="H94" s="192">
        <f t="shared" si="11"/>
        <v>10.362017804154302</v>
      </c>
    </row>
    <row r="95" spans="1:8" ht="26.25" customHeight="1">
      <c r="A95" s="106" t="s">
        <v>21</v>
      </c>
      <c r="B95" s="109"/>
      <c r="C95" s="48">
        <v>411200</v>
      </c>
      <c r="D95" s="54" t="s">
        <v>298</v>
      </c>
      <c r="E95" s="131">
        <v>920000</v>
      </c>
      <c r="F95" s="131">
        <v>990000</v>
      </c>
      <c r="G95" s="125">
        <f t="shared" si="10"/>
        <v>107.6086956521739</v>
      </c>
      <c r="H95" s="192">
        <f t="shared" si="11"/>
        <v>2.9376854599406528</v>
      </c>
    </row>
    <row r="96" spans="1:8" ht="25.5">
      <c r="A96" s="106" t="s">
        <v>21</v>
      </c>
      <c r="B96" s="109"/>
      <c r="C96" s="48">
        <v>411300</v>
      </c>
      <c r="D96" s="54" t="s">
        <v>373</v>
      </c>
      <c r="E96" s="131">
        <v>170000</v>
      </c>
      <c r="F96" s="131">
        <v>157000</v>
      </c>
      <c r="G96" s="125">
        <f t="shared" si="10"/>
        <v>92.3529411764706</v>
      </c>
      <c r="H96" s="192">
        <f t="shared" si="11"/>
        <v>0.46587537091988135</v>
      </c>
    </row>
    <row r="97" spans="1:8" ht="12.75" customHeight="1">
      <c r="A97" s="106" t="s">
        <v>21</v>
      </c>
      <c r="B97" s="109"/>
      <c r="C97" s="48">
        <v>411400</v>
      </c>
      <c r="D97" s="55" t="s">
        <v>294</v>
      </c>
      <c r="E97" s="131">
        <v>70000</v>
      </c>
      <c r="F97" s="131">
        <v>100000</v>
      </c>
      <c r="G97" s="125">
        <f t="shared" si="10"/>
        <v>142.85714285714286</v>
      </c>
      <c r="H97" s="192">
        <f t="shared" si="11"/>
        <v>0.2967359050445104</v>
      </c>
    </row>
    <row r="98" spans="1:8" ht="14.25" customHeight="1">
      <c r="A98" s="106"/>
      <c r="B98" s="35">
        <v>412000</v>
      </c>
      <c r="C98" s="48"/>
      <c r="D98" s="120" t="s">
        <v>114</v>
      </c>
      <c r="E98" s="160">
        <f>SUM(E99:E102)</f>
        <v>13000</v>
      </c>
      <c r="F98" s="122">
        <f>SUM(F99:F102)</f>
        <v>13000</v>
      </c>
      <c r="G98" s="122">
        <f t="shared" si="10"/>
        <v>100</v>
      </c>
      <c r="H98" s="123">
        <f t="shared" si="11"/>
        <v>0.03857566765578635</v>
      </c>
    </row>
    <row r="99" spans="1:8" ht="12.75" customHeight="1">
      <c r="A99" s="106" t="s">
        <v>21</v>
      </c>
      <c r="B99" s="109"/>
      <c r="C99" s="48">
        <v>412700</v>
      </c>
      <c r="D99" s="109" t="s">
        <v>102</v>
      </c>
      <c r="E99" s="129">
        <v>7600</v>
      </c>
      <c r="F99" s="129">
        <v>7600</v>
      </c>
      <c r="G99" s="125">
        <f t="shared" si="10"/>
        <v>100</v>
      </c>
      <c r="H99" s="192">
        <f t="shared" si="11"/>
        <v>0.02255192878338279</v>
      </c>
    </row>
    <row r="100" spans="1:8" ht="12.75" customHeight="1">
      <c r="A100" s="106" t="s">
        <v>21</v>
      </c>
      <c r="B100" s="109"/>
      <c r="C100" s="48">
        <v>412900</v>
      </c>
      <c r="D100" s="70" t="s">
        <v>0</v>
      </c>
      <c r="E100" s="129">
        <v>400</v>
      </c>
      <c r="F100" s="129">
        <v>400</v>
      </c>
      <c r="G100" s="125">
        <f t="shared" si="10"/>
        <v>100</v>
      </c>
      <c r="H100" s="192">
        <f t="shared" si="11"/>
        <v>0.0011869436201780415</v>
      </c>
    </row>
    <row r="101" spans="1:8" ht="12.75" customHeight="1">
      <c r="A101" s="106" t="s">
        <v>21</v>
      </c>
      <c r="B101" s="109"/>
      <c r="C101" s="48">
        <v>412900</v>
      </c>
      <c r="D101" s="70" t="s">
        <v>136</v>
      </c>
      <c r="E101" s="129">
        <v>5000</v>
      </c>
      <c r="F101" s="129">
        <v>5000</v>
      </c>
      <c r="G101" s="125">
        <f t="shared" si="10"/>
        <v>100</v>
      </c>
      <c r="H101" s="192">
        <f t="shared" si="11"/>
        <v>0.014836795252225518</v>
      </c>
    </row>
    <row r="102" spans="1:8" ht="12.75" customHeight="1" hidden="1">
      <c r="A102" s="106" t="s">
        <v>21</v>
      </c>
      <c r="B102" s="109"/>
      <c r="C102" s="48">
        <v>412900</v>
      </c>
      <c r="D102" s="70" t="s">
        <v>123</v>
      </c>
      <c r="E102" s="129">
        <v>0</v>
      </c>
      <c r="F102" s="129"/>
      <c r="G102" s="125">
        <f t="shared" si="10"/>
        <v>0</v>
      </c>
      <c r="H102" s="192">
        <f t="shared" si="11"/>
        <v>0</v>
      </c>
    </row>
    <row r="103" spans="1:8" ht="12.75">
      <c r="A103" s="106"/>
      <c r="B103" s="35">
        <v>418000</v>
      </c>
      <c r="C103" s="48"/>
      <c r="D103" s="120" t="s">
        <v>585</v>
      </c>
      <c r="E103" s="160">
        <f>SUM(E104)</f>
        <v>7620</v>
      </c>
      <c r="F103" s="122">
        <f>SUM(F104)</f>
        <v>9000</v>
      </c>
      <c r="G103" s="122">
        <f t="shared" si="10"/>
        <v>118.11023622047243</v>
      </c>
      <c r="H103" s="123">
        <f t="shared" si="11"/>
        <v>0.026706231454005934</v>
      </c>
    </row>
    <row r="104" spans="1:8" ht="12" customHeight="1">
      <c r="A104" s="106" t="s">
        <v>21</v>
      </c>
      <c r="B104" s="109"/>
      <c r="C104" s="48">
        <v>418200</v>
      </c>
      <c r="D104" s="70" t="s">
        <v>137</v>
      </c>
      <c r="E104" s="131">
        <v>7620</v>
      </c>
      <c r="F104" s="131">
        <v>9000</v>
      </c>
      <c r="G104" s="125">
        <f t="shared" si="10"/>
        <v>118.11023622047243</v>
      </c>
      <c r="H104" s="192">
        <f t="shared" si="11"/>
        <v>0.026706231454005934</v>
      </c>
    </row>
    <row r="105" spans="1:8" ht="15" customHeight="1">
      <c r="A105" s="113"/>
      <c r="B105" s="35">
        <v>638000</v>
      </c>
      <c r="C105" s="48"/>
      <c r="D105" s="120" t="s">
        <v>295</v>
      </c>
      <c r="E105" s="160">
        <f>SUM(E106)</f>
        <v>139350</v>
      </c>
      <c r="F105" s="122">
        <f>SUM(F106)</f>
        <v>200000</v>
      </c>
      <c r="G105" s="122">
        <f t="shared" si="10"/>
        <v>143.52350197344813</v>
      </c>
      <c r="H105" s="123">
        <f t="shared" si="11"/>
        <v>0.5934718100890208</v>
      </c>
    </row>
    <row r="106" spans="1:8" ht="24" customHeight="1">
      <c r="A106" s="106"/>
      <c r="B106" s="109"/>
      <c r="C106" s="48">
        <v>638100</v>
      </c>
      <c r="D106" s="70" t="s">
        <v>296</v>
      </c>
      <c r="E106" s="131">
        <v>139350</v>
      </c>
      <c r="F106" s="131">
        <v>200000</v>
      </c>
      <c r="G106" s="125">
        <f t="shared" si="10"/>
        <v>143.52350197344813</v>
      </c>
      <c r="H106" s="192">
        <f t="shared" si="11"/>
        <v>0.5934718100890208</v>
      </c>
    </row>
    <row r="107" spans="1:8" ht="24" customHeight="1">
      <c r="A107" s="493"/>
      <c r="B107" s="494"/>
      <c r="C107" s="481" t="s">
        <v>74</v>
      </c>
      <c r="D107" s="482"/>
      <c r="E107" s="144">
        <f>E93+E98+E103+E105</f>
        <v>4794970</v>
      </c>
      <c r="F107" s="397">
        <f>F93+F98+F103+F105</f>
        <v>4961000</v>
      </c>
      <c r="G107" s="340">
        <f t="shared" si="10"/>
        <v>103.46258683578833</v>
      </c>
      <c r="H107" s="361">
        <f t="shared" si="11"/>
        <v>14.72106824925816</v>
      </c>
    </row>
    <row r="108" spans="1:8" ht="9.75" customHeight="1">
      <c r="A108" s="505"/>
      <c r="B108" s="506"/>
      <c r="C108" s="479" t="s">
        <v>487</v>
      </c>
      <c r="D108" s="479"/>
      <c r="E108" s="174"/>
      <c r="F108" s="174"/>
      <c r="G108" s="174"/>
      <c r="H108" s="175"/>
    </row>
    <row r="109" spans="1:8" ht="9.75" customHeight="1">
      <c r="A109" s="505"/>
      <c r="B109" s="506"/>
      <c r="C109" s="479"/>
      <c r="D109" s="479"/>
      <c r="E109" s="375"/>
      <c r="F109" s="375"/>
      <c r="G109" s="176"/>
      <c r="H109" s="177"/>
    </row>
    <row r="110" spans="1:8" ht="9.75" customHeight="1">
      <c r="A110" s="505"/>
      <c r="B110" s="506"/>
      <c r="C110" s="479"/>
      <c r="D110" s="479"/>
      <c r="E110" s="176"/>
      <c r="F110" s="176"/>
      <c r="G110" s="176"/>
      <c r="H110" s="177"/>
    </row>
    <row r="111" spans="1:8" ht="14.25" customHeight="1">
      <c r="A111" s="505"/>
      <c r="B111" s="506"/>
      <c r="C111" s="479"/>
      <c r="D111" s="479"/>
      <c r="E111" s="178"/>
      <c r="F111" s="178"/>
      <c r="G111" s="178"/>
      <c r="H111" s="179"/>
    </row>
    <row r="112" spans="1:8" ht="14.25" customHeight="1">
      <c r="A112" s="106"/>
      <c r="B112" s="35">
        <v>412000</v>
      </c>
      <c r="C112" s="48"/>
      <c r="D112" s="120" t="s">
        <v>114</v>
      </c>
      <c r="E112" s="122">
        <f>SUM(E113:E116)</f>
        <v>50400</v>
      </c>
      <c r="F112" s="122">
        <f>SUM(F113:F116)</f>
        <v>85400</v>
      </c>
      <c r="G112" s="122">
        <f aca="true" t="shared" si="12" ref="G112:G174">IF(E112&gt;0,F112/E112*100,0)</f>
        <v>169.44444444444443</v>
      </c>
      <c r="H112" s="123">
        <f aca="true" t="shared" si="13" ref="H112:H145">F112/$F$608*100</f>
        <v>0.2534124629080119</v>
      </c>
    </row>
    <row r="113" spans="1:8" ht="13.5" customHeight="1">
      <c r="A113" s="106" t="s">
        <v>21</v>
      </c>
      <c r="B113" s="41"/>
      <c r="C113" s="109">
        <v>412700</v>
      </c>
      <c r="D113" s="70" t="s">
        <v>92</v>
      </c>
      <c r="E113" s="173">
        <v>50000</v>
      </c>
      <c r="F113" s="173">
        <v>70000</v>
      </c>
      <c r="G113" s="125">
        <f t="shared" si="12"/>
        <v>140</v>
      </c>
      <c r="H113" s="192">
        <f t="shared" si="13"/>
        <v>0.20771513353115725</v>
      </c>
    </row>
    <row r="114" spans="1:8" ht="12.75">
      <c r="A114" s="106" t="s">
        <v>30</v>
      </c>
      <c r="B114" s="41"/>
      <c r="C114" s="109">
        <v>412700</v>
      </c>
      <c r="D114" s="70" t="s">
        <v>382</v>
      </c>
      <c r="E114" s="129">
        <v>0</v>
      </c>
      <c r="F114" s="129">
        <v>3000</v>
      </c>
      <c r="G114" s="125">
        <f t="shared" si="12"/>
        <v>0</v>
      </c>
      <c r="H114" s="192">
        <f t="shared" si="13"/>
        <v>0.008902077151335312</v>
      </c>
    </row>
    <row r="115" spans="1:8" ht="13.5" customHeight="1">
      <c r="A115" s="106" t="s">
        <v>30</v>
      </c>
      <c r="B115" s="41"/>
      <c r="C115" s="109">
        <v>412700</v>
      </c>
      <c r="D115" s="70" t="s">
        <v>96</v>
      </c>
      <c r="E115" s="129">
        <v>0</v>
      </c>
      <c r="F115" s="129">
        <v>12000</v>
      </c>
      <c r="G115" s="125">
        <f>IF(E115&gt;0,F115/E115*100,0)</f>
        <v>0</v>
      </c>
      <c r="H115" s="192">
        <f t="shared" si="13"/>
        <v>0.03560830860534125</v>
      </c>
    </row>
    <row r="116" spans="1:8" ht="12.75" customHeight="1">
      <c r="A116" s="106" t="s">
        <v>21</v>
      </c>
      <c r="B116" s="109"/>
      <c r="C116" s="48">
        <v>412900</v>
      </c>
      <c r="D116" s="70" t="s">
        <v>22</v>
      </c>
      <c r="E116" s="129">
        <v>400</v>
      </c>
      <c r="F116" s="129">
        <v>400</v>
      </c>
      <c r="G116" s="125">
        <f t="shared" si="12"/>
        <v>100</v>
      </c>
      <c r="H116" s="192">
        <f t="shared" si="13"/>
        <v>0.0011869436201780415</v>
      </c>
    </row>
    <row r="117" spans="1:8" ht="12.75" customHeight="1" hidden="1">
      <c r="A117" s="106"/>
      <c r="B117" s="35">
        <v>414000</v>
      </c>
      <c r="C117" s="48"/>
      <c r="D117" s="120" t="s">
        <v>165</v>
      </c>
      <c r="E117" s="122">
        <f>SUM(E118:E118)</f>
        <v>0</v>
      </c>
      <c r="F117" s="122">
        <f>SUM(F118:F118)</f>
        <v>0</v>
      </c>
      <c r="G117" s="122">
        <f t="shared" si="12"/>
        <v>0</v>
      </c>
      <c r="H117" s="123">
        <f t="shared" si="13"/>
        <v>0</v>
      </c>
    </row>
    <row r="118" spans="1:8" ht="12.75" customHeight="1" hidden="1">
      <c r="A118" s="106" t="s">
        <v>368</v>
      </c>
      <c r="B118" s="109"/>
      <c r="C118" s="48">
        <v>414100</v>
      </c>
      <c r="D118" s="70" t="s">
        <v>410</v>
      </c>
      <c r="E118" s="129">
        <v>0</v>
      </c>
      <c r="F118" s="129">
        <v>0</v>
      </c>
      <c r="G118" s="122">
        <f t="shared" si="12"/>
        <v>0</v>
      </c>
      <c r="H118" s="123">
        <f t="shared" si="13"/>
        <v>0</v>
      </c>
    </row>
    <row r="119" spans="1:8" ht="14.25" customHeight="1">
      <c r="A119" s="106"/>
      <c r="B119" s="35">
        <v>415000</v>
      </c>
      <c r="C119" s="109"/>
      <c r="D119" s="120" t="s">
        <v>128</v>
      </c>
      <c r="E119" s="160">
        <f>SUM(E120:E156)</f>
        <v>1614167.15</v>
      </c>
      <c r="F119" s="122">
        <f>SUM(F120:F154)</f>
        <v>1227000</v>
      </c>
      <c r="G119" s="122">
        <f t="shared" si="12"/>
        <v>76.01443258215235</v>
      </c>
      <c r="H119" s="123">
        <f t="shared" si="13"/>
        <v>3.6409495548961424</v>
      </c>
    </row>
    <row r="120" spans="1:8" ht="12.75" customHeight="1">
      <c r="A120" s="106" t="s">
        <v>24</v>
      </c>
      <c r="B120" s="109"/>
      <c r="C120" s="48">
        <v>415200</v>
      </c>
      <c r="D120" s="102" t="s">
        <v>189</v>
      </c>
      <c r="E120" s="173">
        <v>321000</v>
      </c>
      <c r="F120" s="173">
        <v>255000</v>
      </c>
      <c r="G120" s="125">
        <f t="shared" si="12"/>
        <v>79.43925233644859</v>
      </c>
      <c r="H120" s="192">
        <f t="shared" si="13"/>
        <v>0.7566765578635014</v>
      </c>
    </row>
    <row r="121" spans="1:8" ht="12.75" customHeight="1">
      <c r="A121" s="106" t="s">
        <v>26</v>
      </c>
      <c r="B121" s="109"/>
      <c r="C121" s="48">
        <v>415200</v>
      </c>
      <c r="D121" s="70" t="s">
        <v>27</v>
      </c>
      <c r="E121" s="131">
        <v>37500</v>
      </c>
      <c r="F121" s="131">
        <v>37000</v>
      </c>
      <c r="G121" s="125">
        <f t="shared" si="12"/>
        <v>98.66666666666667</v>
      </c>
      <c r="H121" s="192">
        <f t="shared" si="13"/>
        <v>0.10979228486646886</v>
      </c>
    </row>
    <row r="122" spans="1:8" ht="12" customHeight="1">
      <c r="A122" s="106" t="s">
        <v>26</v>
      </c>
      <c r="B122" s="109"/>
      <c r="C122" s="48">
        <v>415200</v>
      </c>
      <c r="D122" s="70" t="s">
        <v>414</v>
      </c>
      <c r="E122" s="131">
        <v>351</v>
      </c>
      <c r="F122" s="131">
        <v>0</v>
      </c>
      <c r="G122" s="125">
        <f t="shared" si="12"/>
        <v>0</v>
      </c>
      <c r="H122" s="192">
        <f t="shared" si="13"/>
        <v>0</v>
      </c>
    </row>
    <row r="123" spans="1:8" ht="12.75" customHeight="1">
      <c r="A123" s="106" t="s">
        <v>28</v>
      </c>
      <c r="B123" s="109"/>
      <c r="C123" s="48">
        <v>415200</v>
      </c>
      <c r="D123" s="75" t="s">
        <v>223</v>
      </c>
      <c r="E123" s="173">
        <v>440000</v>
      </c>
      <c r="F123" s="131">
        <v>420000</v>
      </c>
      <c r="G123" s="125">
        <f t="shared" si="12"/>
        <v>95.45454545454545</v>
      </c>
      <c r="H123" s="192">
        <f t="shared" si="13"/>
        <v>1.2462908011869436</v>
      </c>
    </row>
    <row r="124" spans="1:8" ht="14.25" customHeight="1">
      <c r="A124" s="106" t="s">
        <v>28</v>
      </c>
      <c r="B124" s="109"/>
      <c r="C124" s="48">
        <v>415200</v>
      </c>
      <c r="D124" s="75" t="s">
        <v>415</v>
      </c>
      <c r="E124" s="131">
        <v>43100</v>
      </c>
      <c r="F124" s="131">
        <v>0</v>
      </c>
      <c r="G124" s="125">
        <f t="shared" si="12"/>
        <v>0</v>
      </c>
      <c r="H124" s="192">
        <f t="shared" si="13"/>
        <v>0</v>
      </c>
    </row>
    <row r="125" spans="1:8" ht="25.5">
      <c r="A125" s="106" t="s">
        <v>28</v>
      </c>
      <c r="B125" s="109"/>
      <c r="C125" s="48">
        <v>415200</v>
      </c>
      <c r="D125" s="75" t="s">
        <v>649</v>
      </c>
      <c r="E125" s="131">
        <v>22269.4</v>
      </c>
      <c r="F125" s="131">
        <v>0</v>
      </c>
      <c r="G125" s="125">
        <f>IF(E125&gt;0,F125/E125*100,0)</f>
        <v>0</v>
      </c>
      <c r="H125" s="192">
        <f t="shared" si="13"/>
        <v>0</v>
      </c>
    </row>
    <row r="126" spans="1:8" ht="15" customHeight="1">
      <c r="A126" s="106" t="s">
        <v>29</v>
      </c>
      <c r="B126" s="109"/>
      <c r="C126" s="48">
        <v>415200</v>
      </c>
      <c r="D126" s="70" t="s">
        <v>103</v>
      </c>
      <c r="E126" s="131">
        <v>88200</v>
      </c>
      <c r="F126" s="131">
        <v>47000</v>
      </c>
      <c r="G126" s="125">
        <f t="shared" si="12"/>
        <v>53.28798185941043</v>
      </c>
      <c r="H126" s="192">
        <f t="shared" si="13"/>
        <v>0.13946587537091987</v>
      </c>
    </row>
    <row r="127" spans="1:8" ht="26.25" customHeight="1">
      <c r="A127" s="106" t="s">
        <v>29</v>
      </c>
      <c r="B127" s="109"/>
      <c r="C127" s="48">
        <v>415200</v>
      </c>
      <c r="D127" s="70" t="s">
        <v>416</v>
      </c>
      <c r="E127" s="131">
        <v>13300</v>
      </c>
      <c r="F127" s="131">
        <v>0</v>
      </c>
      <c r="G127" s="125">
        <f t="shared" si="12"/>
        <v>0</v>
      </c>
      <c r="H127" s="192">
        <f t="shared" si="13"/>
        <v>0</v>
      </c>
    </row>
    <row r="128" spans="1:8" ht="13.5" customHeight="1">
      <c r="A128" s="108" t="s">
        <v>26</v>
      </c>
      <c r="B128" s="109"/>
      <c r="C128" s="48">
        <v>415200</v>
      </c>
      <c r="D128" s="70" t="s">
        <v>315</v>
      </c>
      <c r="E128" s="131">
        <v>6000</v>
      </c>
      <c r="F128" s="131">
        <v>6000</v>
      </c>
      <c r="G128" s="125">
        <f t="shared" si="12"/>
        <v>100</v>
      </c>
      <c r="H128" s="192">
        <f t="shared" si="13"/>
        <v>0.017804154302670624</v>
      </c>
    </row>
    <row r="129" spans="1:8" ht="13.5" customHeight="1">
      <c r="A129" s="108" t="s">
        <v>26</v>
      </c>
      <c r="B129" s="109"/>
      <c r="C129" s="48">
        <v>415200</v>
      </c>
      <c r="D129" s="70" t="s">
        <v>417</v>
      </c>
      <c r="E129" s="131">
        <v>2000</v>
      </c>
      <c r="F129" s="131">
        <v>0</v>
      </c>
      <c r="G129" s="125">
        <f t="shared" si="12"/>
        <v>0</v>
      </c>
      <c r="H129" s="192">
        <f t="shared" si="13"/>
        <v>0</v>
      </c>
    </row>
    <row r="130" spans="1:8" ht="12.75">
      <c r="A130" s="108" t="s">
        <v>26</v>
      </c>
      <c r="B130" s="109"/>
      <c r="C130" s="48">
        <v>415200</v>
      </c>
      <c r="D130" s="70" t="s">
        <v>620</v>
      </c>
      <c r="E130" s="131">
        <v>11000</v>
      </c>
      <c r="F130" s="131">
        <v>12500</v>
      </c>
      <c r="G130" s="125">
        <f t="shared" si="12"/>
        <v>113.63636363636364</v>
      </c>
      <c r="H130" s="192">
        <f t="shared" si="13"/>
        <v>0.0370919881305638</v>
      </c>
    </row>
    <row r="131" spans="1:8" ht="12.75" customHeight="1">
      <c r="A131" s="108" t="s">
        <v>26</v>
      </c>
      <c r="B131" s="109"/>
      <c r="C131" s="48">
        <v>415200</v>
      </c>
      <c r="D131" s="70" t="s">
        <v>650</v>
      </c>
      <c r="E131" s="131">
        <v>350</v>
      </c>
      <c r="F131" s="131">
        <v>0</v>
      </c>
      <c r="G131" s="125">
        <f t="shared" si="12"/>
        <v>0</v>
      </c>
      <c r="H131" s="192">
        <f t="shared" si="13"/>
        <v>0</v>
      </c>
    </row>
    <row r="132" spans="1:8" ht="13.5" customHeight="1">
      <c r="A132" s="108" t="s">
        <v>317</v>
      </c>
      <c r="B132" s="109"/>
      <c r="C132" s="48">
        <v>415200</v>
      </c>
      <c r="D132" s="70" t="s">
        <v>316</v>
      </c>
      <c r="E132" s="131">
        <v>6000</v>
      </c>
      <c r="F132" s="131">
        <v>10000</v>
      </c>
      <c r="G132" s="125">
        <f t="shared" si="12"/>
        <v>166.66666666666669</v>
      </c>
      <c r="H132" s="192">
        <f t="shared" si="13"/>
        <v>0.029673590504451036</v>
      </c>
    </row>
    <row r="133" spans="1:8" ht="26.25" customHeight="1">
      <c r="A133" s="108" t="s">
        <v>317</v>
      </c>
      <c r="B133" s="109"/>
      <c r="C133" s="48">
        <v>415200</v>
      </c>
      <c r="D133" s="70" t="s">
        <v>690</v>
      </c>
      <c r="E133" s="131">
        <v>0</v>
      </c>
      <c r="F133" s="131">
        <v>10000</v>
      </c>
      <c r="G133" s="125">
        <f t="shared" si="12"/>
        <v>0</v>
      </c>
      <c r="H133" s="192">
        <f t="shared" si="13"/>
        <v>0.029673590504451036</v>
      </c>
    </row>
    <row r="134" spans="1:8" ht="12.75" customHeight="1">
      <c r="A134" s="106" t="s">
        <v>29</v>
      </c>
      <c r="B134" s="109"/>
      <c r="C134" s="48">
        <v>415200</v>
      </c>
      <c r="D134" s="70" t="s">
        <v>104</v>
      </c>
      <c r="E134" s="131">
        <v>25000</v>
      </c>
      <c r="F134" s="131">
        <v>25000</v>
      </c>
      <c r="G134" s="125">
        <f t="shared" si="12"/>
        <v>100</v>
      </c>
      <c r="H134" s="192">
        <f t="shared" si="13"/>
        <v>0.0741839762611276</v>
      </c>
    </row>
    <row r="135" spans="1:8" ht="13.5" customHeight="1">
      <c r="A135" s="106" t="s">
        <v>29</v>
      </c>
      <c r="B135" s="109"/>
      <c r="C135" s="48">
        <v>415200</v>
      </c>
      <c r="D135" s="70" t="s">
        <v>418</v>
      </c>
      <c r="E135" s="131">
        <v>4917.6</v>
      </c>
      <c r="F135" s="131">
        <v>0</v>
      </c>
      <c r="G135" s="125">
        <f t="shared" si="12"/>
        <v>0</v>
      </c>
      <c r="H135" s="192">
        <f t="shared" si="13"/>
        <v>0</v>
      </c>
    </row>
    <row r="136" spans="1:8" ht="25.5">
      <c r="A136" s="106" t="s">
        <v>29</v>
      </c>
      <c r="B136" s="109"/>
      <c r="C136" s="48">
        <v>415200</v>
      </c>
      <c r="D136" s="70" t="s">
        <v>253</v>
      </c>
      <c r="E136" s="131">
        <v>5000</v>
      </c>
      <c r="F136" s="131">
        <v>5000</v>
      </c>
      <c r="G136" s="125">
        <f t="shared" si="12"/>
        <v>100</v>
      </c>
      <c r="H136" s="192">
        <f t="shared" si="13"/>
        <v>0.014836795252225518</v>
      </c>
    </row>
    <row r="137" spans="1:8" ht="13.5" customHeight="1">
      <c r="A137" s="106" t="s">
        <v>26</v>
      </c>
      <c r="B137" s="109"/>
      <c r="C137" s="48">
        <v>415200</v>
      </c>
      <c r="D137" s="70" t="s">
        <v>390</v>
      </c>
      <c r="E137" s="131">
        <v>1500</v>
      </c>
      <c r="F137" s="173">
        <v>1500</v>
      </c>
      <c r="G137" s="125">
        <f t="shared" si="12"/>
        <v>100</v>
      </c>
      <c r="H137" s="192">
        <f t="shared" si="13"/>
        <v>0.004451038575667656</v>
      </c>
    </row>
    <row r="138" spans="1:8" ht="12.75" customHeight="1">
      <c r="A138" s="106" t="s">
        <v>29</v>
      </c>
      <c r="B138" s="109"/>
      <c r="C138" s="48">
        <v>415200</v>
      </c>
      <c r="D138" s="70" t="s">
        <v>88</v>
      </c>
      <c r="E138" s="131">
        <v>30000</v>
      </c>
      <c r="F138" s="173">
        <v>40000</v>
      </c>
      <c r="G138" s="125">
        <f t="shared" si="12"/>
        <v>133.33333333333331</v>
      </c>
      <c r="H138" s="192">
        <f t="shared" si="13"/>
        <v>0.11869436201780414</v>
      </c>
    </row>
    <row r="139" spans="1:8" ht="12.75" customHeight="1" hidden="1">
      <c r="A139" s="106" t="s">
        <v>29</v>
      </c>
      <c r="B139" s="109"/>
      <c r="C139" s="48">
        <v>415200</v>
      </c>
      <c r="D139" s="70" t="s">
        <v>555</v>
      </c>
      <c r="E139" s="131">
        <v>0</v>
      </c>
      <c r="F139" s="173"/>
      <c r="G139" s="125">
        <f t="shared" si="12"/>
        <v>0</v>
      </c>
      <c r="H139" s="192">
        <f t="shared" si="13"/>
        <v>0</v>
      </c>
    </row>
    <row r="140" spans="1:8" ht="12.75">
      <c r="A140" s="106" t="s">
        <v>152</v>
      </c>
      <c r="B140" s="109"/>
      <c r="C140" s="48">
        <v>415200</v>
      </c>
      <c r="D140" s="70" t="s">
        <v>552</v>
      </c>
      <c r="E140" s="131">
        <v>10000</v>
      </c>
      <c r="F140" s="173">
        <v>10000</v>
      </c>
      <c r="G140" s="125">
        <f t="shared" si="12"/>
        <v>100</v>
      </c>
      <c r="H140" s="192">
        <f t="shared" si="13"/>
        <v>0.029673590504451036</v>
      </c>
    </row>
    <row r="141" spans="1:8" ht="14.25" customHeight="1">
      <c r="A141" s="106" t="s">
        <v>39</v>
      </c>
      <c r="B141" s="35"/>
      <c r="C141" s="48">
        <v>415200</v>
      </c>
      <c r="D141" s="57" t="s">
        <v>179</v>
      </c>
      <c r="E141" s="173">
        <v>150000</v>
      </c>
      <c r="F141" s="173">
        <v>58000</v>
      </c>
      <c r="G141" s="125">
        <f t="shared" si="12"/>
        <v>38.666666666666664</v>
      </c>
      <c r="H141" s="192">
        <f t="shared" si="13"/>
        <v>0.17210682492581603</v>
      </c>
    </row>
    <row r="142" spans="1:8" ht="26.25" customHeight="1">
      <c r="A142" s="106" t="s">
        <v>39</v>
      </c>
      <c r="B142" s="35"/>
      <c r="C142" s="48">
        <v>415200</v>
      </c>
      <c r="D142" s="75" t="s">
        <v>419</v>
      </c>
      <c r="E142" s="131">
        <v>27200</v>
      </c>
      <c r="F142" s="173">
        <v>0</v>
      </c>
      <c r="G142" s="125">
        <f t="shared" si="12"/>
        <v>0</v>
      </c>
      <c r="H142" s="192">
        <f t="shared" si="13"/>
        <v>0</v>
      </c>
    </row>
    <row r="143" spans="1:8" ht="12.75">
      <c r="A143" s="106" t="s">
        <v>39</v>
      </c>
      <c r="B143" s="35"/>
      <c r="C143" s="48">
        <v>415200</v>
      </c>
      <c r="D143" s="75" t="s">
        <v>688</v>
      </c>
      <c r="E143" s="131">
        <v>0</v>
      </c>
      <c r="F143" s="173">
        <v>20000</v>
      </c>
      <c r="G143" s="125">
        <f t="shared" si="12"/>
        <v>0</v>
      </c>
      <c r="H143" s="192">
        <f t="shared" si="13"/>
        <v>0.05934718100890207</v>
      </c>
    </row>
    <row r="144" spans="1:8" ht="12.75">
      <c r="A144" s="108" t="s">
        <v>375</v>
      </c>
      <c r="B144" s="180"/>
      <c r="C144" s="182">
        <v>415200</v>
      </c>
      <c r="D144" s="75" t="s">
        <v>505</v>
      </c>
      <c r="E144" s="131">
        <v>45000</v>
      </c>
      <c r="F144" s="131">
        <v>75000</v>
      </c>
      <c r="G144" s="125">
        <f t="shared" si="12"/>
        <v>166.66666666666669</v>
      </c>
      <c r="H144" s="192">
        <f t="shared" si="13"/>
        <v>0.22255192878338279</v>
      </c>
    </row>
    <row r="145" spans="1:8" ht="25.5" customHeight="1">
      <c r="A145" s="108" t="s">
        <v>26</v>
      </c>
      <c r="B145" s="180"/>
      <c r="C145" s="78">
        <v>415200</v>
      </c>
      <c r="D145" s="75" t="s">
        <v>196</v>
      </c>
      <c r="E145" s="131">
        <v>70000</v>
      </c>
      <c r="F145" s="131">
        <v>70000</v>
      </c>
      <c r="G145" s="125">
        <f t="shared" si="12"/>
        <v>100</v>
      </c>
      <c r="H145" s="192">
        <f t="shared" si="13"/>
        <v>0.20771513353115725</v>
      </c>
    </row>
    <row r="146" spans="1:8" ht="25.5" customHeight="1">
      <c r="A146" s="108" t="s">
        <v>26</v>
      </c>
      <c r="B146" s="180"/>
      <c r="C146" s="78">
        <v>415200</v>
      </c>
      <c r="D146" s="75" t="s">
        <v>420</v>
      </c>
      <c r="E146" s="131">
        <v>2400</v>
      </c>
      <c r="F146" s="131">
        <v>0</v>
      </c>
      <c r="G146" s="125">
        <f t="shared" si="12"/>
        <v>0</v>
      </c>
      <c r="H146" s="192">
        <f aca="true" t="shared" si="14" ref="H146:H174">F146/$F$608*100</f>
        <v>0</v>
      </c>
    </row>
    <row r="147" spans="1:8" ht="28.5" customHeight="1">
      <c r="A147" s="226" t="s">
        <v>473</v>
      </c>
      <c r="B147" s="109"/>
      <c r="C147" s="182">
        <v>415200</v>
      </c>
      <c r="D147" s="70" t="s">
        <v>472</v>
      </c>
      <c r="E147" s="131">
        <v>10000</v>
      </c>
      <c r="F147" s="131">
        <v>6000</v>
      </c>
      <c r="G147" s="125">
        <f t="shared" si="12"/>
        <v>60</v>
      </c>
      <c r="H147" s="192">
        <f t="shared" si="14"/>
        <v>0.017804154302670624</v>
      </c>
    </row>
    <row r="148" spans="1:8" ht="25.5">
      <c r="A148" s="106" t="s">
        <v>153</v>
      </c>
      <c r="B148" s="107"/>
      <c r="C148" s="48">
        <v>415200</v>
      </c>
      <c r="D148" s="102" t="s">
        <v>621</v>
      </c>
      <c r="E148" s="131">
        <v>91500</v>
      </c>
      <c r="F148" s="131">
        <v>27000</v>
      </c>
      <c r="G148" s="125">
        <f t="shared" si="12"/>
        <v>29.508196721311474</v>
      </c>
      <c r="H148" s="192">
        <f t="shared" si="14"/>
        <v>0.08011869436201781</v>
      </c>
    </row>
    <row r="149" spans="1:8" ht="12.75">
      <c r="A149" s="106" t="s">
        <v>154</v>
      </c>
      <c r="B149" s="107"/>
      <c r="C149" s="48">
        <v>415200</v>
      </c>
      <c r="D149" s="102" t="s">
        <v>395</v>
      </c>
      <c r="E149" s="173">
        <v>12918</v>
      </c>
      <c r="F149" s="173">
        <v>10000</v>
      </c>
      <c r="G149" s="125">
        <f t="shared" si="12"/>
        <v>77.41136398823348</v>
      </c>
      <c r="H149" s="192">
        <f t="shared" si="14"/>
        <v>0.029673590504451036</v>
      </c>
    </row>
    <row r="150" spans="1:8" ht="12.75">
      <c r="A150" s="106" t="s">
        <v>154</v>
      </c>
      <c r="B150" s="107"/>
      <c r="C150" s="48">
        <v>415200</v>
      </c>
      <c r="D150" s="102" t="s">
        <v>518</v>
      </c>
      <c r="E150" s="173">
        <v>45000</v>
      </c>
      <c r="F150" s="173">
        <v>30000</v>
      </c>
      <c r="G150" s="125">
        <f t="shared" si="12"/>
        <v>66.66666666666666</v>
      </c>
      <c r="H150" s="192">
        <f t="shared" si="14"/>
        <v>0.08902077151335311</v>
      </c>
    </row>
    <row r="151" spans="1:8" ht="15" customHeight="1">
      <c r="A151" s="106" t="s">
        <v>154</v>
      </c>
      <c r="B151" s="107"/>
      <c r="C151" s="48">
        <v>415200</v>
      </c>
      <c r="D151" s="102" t="s">
        <v>429</v>
      </c>
      <c r="E151" s="131">
        <v>30582</v>
      </c>
      <c r="F151" s="173">
        <v>15000</v>
      </c>
      <c r="G151" s="125">
        <f t="shared" si="12"/>
        <v>49.04845987835982</v>
      </c>
      <c r="H151" s="192">
        <f t="shared" si="14"/>
        <v>0.044510385756676554</v>
      </c>
    </row>
    <row r="152" spans="1:8" ht="15" customHeight="1">
      <c r="A152" s="106" t="s">
        <v>433</v>
      </c>
      <c r="B152" s="107"/>
      <c r="C152" s="48">
        <v>415200</v>
      </c>
      <c r="D152" s="75" t="s">
        <v>432</v>
      </c>
      <c r="E152" s="131">
        <v>6000</v>
      </c>
      <c r="F152" s="173">
        <v>5000</v>
      </c>
      <c r="G152" s="125">
        <f t="shared" si="12"/>
        <v>83.33333333333334</v>
      </c>
      <c r="H152" s="192">
        <f t="shared" si="14"/>
        <v>0.014836795252225518</v>
      </c>
    </row>
    <row r="153" spans="1:8" ht="25.5" customHeight="1">
      <c r="A153" s="106" t="s">
        <v>152</v>
      </c>
      <c r="B153" s="107"/>
      <c r="C153" s="48">
        <v>415200</v>
      </c>
      <c r="D153" s="75" t="s">
        <v>525</v>
      </c>
      <c r="E153" s="131">
        <v>44300</v>
      </c>
      <c r="F153" s="173">
        <v>27000</v>
      </c>
      <c r="G153" s="125">
        <f t="shared" si="12"/>
        <v>60.94808126410835</v>
      </c>
      <c r="H153" s="192">
        <f t="shared" si="14"/>
        <v>0.08011869436201781</v>
      </c>
    </row>
    <row r="154" spans="1:8" ht="12.75">
      <c r="A154" s="106" t="s">
        <v>39</v>
      </c>
      <c r="B154" s="109"/>
      <c r="C154" s="48">
        <v>415200</v>
      </c>
      <c r="D154" s="75" t="s">
        <v>676</v>
      </c>
      <c r="E154" s="131">
        <v>0</v>
      </c>
      <c r="F154" s="173">
        <v>5000</v>
      </c>
      <c r="G154" s="125">
        <f t="shared" si="12"/>
        <v>0</v>
      </c>
      <c r="H154" s="192">
        <f t="shared" si="14"/>
        <v>0.014836795252225518</v>
      </c>
    </row>
    <row r="155" spans="1:8" ht="12.75">
      <c r="A155" s="106" t="s">
        <v>142</v>
      </c>
      <c r="B155" s="107"/>
      <c r="C155" s="48">
        <v>415200</v>
      </c>
      <c r="D155" s="75" t="s">
        <v>651</v>
      </c>
      <c r="E155" s="131">
        <v>2000</v>
      </c>
      <c r="F155" s="173">
        <v>0</v>
      </c>
      <c r="G155" s="125">
        <f>IF(E155&gt;0,F155/E155*100,0)</f>
        <v>0</v>
      </c>
      <c r="H155" s="192">
        <f t="shared" si="14"/>
        <v>0</v>
      </c>
    </row>
    <row r="156" spans="1:8" ht="25.5">
      <c r="A156" s="106" t="s">
        <v>29</v>
      </c>
      <c r="B156" s="107"/>
      <c r="C156" s="48">
        <v>415200</v>
      </c>
      <c r="D156" s="75" t="s">
        <v>652</v>
      </c>
      <c r="E156" s="131">
        <v>9779.15</v>
      </c>
      <c r="F156" s="131">
        <v>0</v>
      </c>
      <c r="G156" s="125">
        <f>IF(E156&gt;0,F156/E156*100,0)</f>
        <v>0</v>
      </c>
      <c r="H156" s="192">
        <f t="shared" si="14"/>
        <v>0</v>
      </c>
    </row>
    <row r="157" spans="1:8" ht="14.25" customHeight="1">
      <c r="A157" s="106"/>
      <c r="B157" s="35">
        <v>416000</v>
      </c>
      <c r="C157" s="41"/>
      <c r="D157" s="120" t="s">
        <v>1</v>
      </c>
      <c r="E157" s="160">
        <f>SUM(E158:E166)</f>
        <v>714300</v>
      </c>
      <c r="F157" s="122">
        <f>SUM(F158:F167)</f>
        <v>848000</v>
      </c>
      <c r="G157" s="122">
        <f t="shared" si="12"/>
        <v>118.71762564748704</v>
      </c>
      <c r="H157" s="123">
        <f t="shared" si="14"/>
        <v>2.516320474777448</v>
      </c>
    </row>
    <row r="158" spans="1:8" ht="12.75" customHeight="1">
      <c r="A158" s="108" t="s">
        <v>142</v>
      </c>
      <c r="B158" s="109"/>
      <c r="C158" s="48">
        <v>416100</v>
      </c>
      <c r="D158" s="70" t="s">
        <v>168</v>
      </c>
      <c r="E158" s="131">
        <v>238100</v>
      </c>
      <c r="F158" s="131">
        <v>210000</v>
      </c>
      <c r="G158" s="125">
        <f t="shared" si="12"/>
        <v>88.1982360352793</v>
      </c>
      <c r="H158" s="192">
        <f t="shared" si="14"/>
        <v>0.6231454005934718</v>
      </c>
    </row>
    <row r="159" spans="1:8" ht="12" customHeight="1">
      <c r="A159" s="108" t="s">
        <v>142</v>
      </c>
      <c r="B159" s="109"/>
      <c r="C159" s="48">
        <v>416100</v>
      </c>
      <c r="D159" s="70" t="s">
        <v>369</v>
      </c>
      <c r="E159" s="131">
        <v>25000</v>
      </c>
      <c r="F159" s="131">
        <v>25000</v>
      </c>
      <c r="G159" s="125">
        <f t="shared" si="12"/>
        <v>100</v>
      </c>
      <c r="H159" s="192">
        <f t="shared" si="14"/>
        <v>0.0741839762611276</v>
      </c>
    </row>
    <row r="160" spans="1:8" ht="12.75" customHeight="1" hidden="1">
      <c r="A160" s="108" t="s">
        <v>142</v>
      </c>
      <c r="B160" s="109"/>
      <c r="C160" s="48">
        <v>416100</v>
      </c>
      <c r="D160" s="70" t="s">
        <v>396</v>
      </c>
      <c r="E160" s="131">
        <v>0</v>
      </c>
      <c r="F160" s="131"/>
      <c r="G160" s="125">
        <f t="shared" si="12"/>
        <v>0</v>
      </c>
      <c r="H160" s="192">
        <f t="shared" si="14"/>
        <v>0</v>
      </c>
    </row>
    <row r="161" spans="1:8" ht="12.75" customHeight="1">
      <c r="A161" s="108" t="s">
        <v>26</v>
      </c>
      <c r="B161" s="183"/>
      <c r="C161" s="182">
        <v>416100</v>
      </c>
      <c r="D161" s="102" t="s">
        <v>93</v>
      </c>
      <c r="E161" s="131">
        <v>30000</v>
      </c>
      <c r="F161" s="131">
        <v>25000</v>
      </c>
      <c r="G161" s="125">
        <f t="shared" si="12"/>
        <v>83.33333333333334</v>
      </c>
      <c r="H161" s="192">
        <f t="shared" si="14"/>
        <v>0.0741839762611276</v>
      </c>
    </row>
    <row r="162" spans="1:8" ht="13.5" customHeight="1">
      <c r="A162" s="108" t="s">
        <v>535</v>
      </c>
      <c r="B162" s="183"/>
      <c r="C162" s="48">
        <v>416100</v>
      </c>
      <c r="D162" s="102" t="s">
        <v>534</v>
      </c>
      <c r="E162" s="131">
        <v>10000</v>
      </c>
      <c r="F162" s="131">
        <v>8000</v>
      </c>
      <c r="G162" s="125">
        <f t="shared" si="12"/>
        <v>80</v>
      </c>
      <c r="H162" s="192">
        <f t="shared" si="14"/>
        <v>0.02373887240356083</v>
      </c>
    </row>
    <row r="163" spans="1:8" ht="25.5" customHeight="1">
      <c r="A163" s="108" t="s">
        <v>26</v>
      </c>
      <c r="B163" s="183"/>
      <c r="C163" s="48">
        <v>416100</v>
      </c>
      <c r="D163" s="102" t="s">
        <v>587</v>
      </c>
      <c r="E163" s="131">
        <v>20000</v>
      </c>
      <c r="F163" s="131">
        <v>30000</v>
      </c>
      <c r="G163" s="125">
        <f t="shared" si="12"/>
        <v>150</v>
      </c>
      <c r="H163" s="192">
        <f t="shared" si="14"/>
        <v>0.08902077151335311</v>
      </c>
    </row>
    <row r="164" spans="1:8" s="343" customFormat="1" ht="14.25" customHeight="1">
      <c r="A164" s="226" t="s">
        <v>152</v>
      </c>
      <c r="B164" s="342"/>
      <c r="C164" s="182">
        <v>416100</v>
      </c>
      <c r="D164" s="102" t="s">
        <v>504</v>
      </c>
      <c r="E164" s="125">
        <v>130000</v>
      </c>
      <c r="F164" s="125">
        <v>130000</v>
      </c>
      <c r="G164" s="125">
        <f t="shared" si="12"/>
        <v>100</v>
      </c>
      <c r="H164" s="192">
        <f t="shared" si="14"/>
        <v>0.3857566765578635</v>
      </c>
    </row>
    <row r="165" spans="1:8" ht="15.75" customHeight="1">
      <c r="A165" s="108" t="s">
        <v>152</v>
      </c>
      <c r="B165" s="183"/>
      <c r="C165" s="48">
        <v>416100</v>
      </c>
      <c r="D165" s="102" t="s">
        <v>225</v>
      </c>
      <c r="E165" s="129">
        <v>15000</v>
      </c>
      <c r="F165" s="129">
        <v>15000</v>
      </c>
      <c r="G165" s="125">
        <f t="shared" si="12"/>
        <v>100</v>
      </c>
      <c r="H165" s="192">
        <f t="shared" si="14"/>
        <v>0.044510385756676554</v>
      </c>
    </row>
    <row r="166" spans="1:8" ht="15.75" customHeight="1">
      <c r="A166" s="184" t="s">
        <v>24</v>
      </c>
      <c r="B166" s="183"/>
      <c r="C166" s="48">
        <v>416100</v>
      </c>
      <c r="D166" s="102" t="s">
        <v>516</v>
      </c>
      <c r="E166" s="129">
        <v>246200</v>
      </c>
      <c r="F166" s="129">
        <v>250000</v>
      </c>
      <c r="G166" s="125">
        <f t="shared" si="12"/>
        <v>101.54346060113728</v>
      </c>
      <c r="H166" s="192">
        <f t="shared" si="14"/>
        <v>0.741839762611276</v>
      </c>
    </row>
    <row r="167" spans="1:8" ht="24.75" customHeight="1">
      <c r="A167" s="184" t="s">
        <v>50</v>
      </c>
      <c r="B167" s="183"/>
      <c r="C167" s="48">
        <v>416100</v>
      </c>
      <c r="D167" s="102" t="s">
        <v>687</v>
      </c>
      <c r="E167" s="129">
        <v>0</v>
      </c>
      <c r="F167" s="129">
        <v>155000</v>
      </c>
      <c r="G167" s="125">
        <f>IF(E167&gt;0,F167/E167*100,0)</f>
        <v>0</v>
      </c>
      <c r="H167" s="192">
        <f>F167/$F$608*100</f>
        <v>0.45994065281899116</v>
      </c>
    </row>
    <row r="168" spans="1:8" ht="15.75" customHeight="1">
      <c r="A168" s="106"/>
      <c r="B168" s="35">
        <v>418000</v>
      </c>
      <c r="C168" s="48"/>
      <c r="D168" s="120" t="s">
        <v>470</v>
      </c>
      <c r="E168" s="126">
        <f>SUM(E169)</f>
        <v>0</v>
      </c>
      <c r="F168" s="126">
        <f>SUM(F169)</f>
        <v>8000</v>
      </c>
      <c r="G168" s="122">
        <f>IF(E168&gt;0,F168/E168*100,0)</f>
        <v>0</v>
      </c>
      <c r="H168" s="123">
        <f t="shared" si="14"/>
        <v>0.02373887240356083</v>
      </c>
    </row>
    <row r="169" spans="1:8" ht="15.75" customHeight="1">
      <c r="A169" s="106" t="s">
        <v>30</v>
      </c>
      <c r="B169" s="109"/>
      <c r="C169" s="48">
        <v>418400</v>
      </c>
      <c r="D169" s="70" t="s">
        <v>96</v>
      </c>
      <c r="E169" s="129">
        <v>0</v>
      </c>
      <c r="F169" s="129">
        <v>8000</v>
      </c>
      <c r="G169" s="125">
        <f>IF(E169&gt;0,F169/E169*100,0)</f>
        <v>0</v>
      </c>
      <c r="H169" s="192">
        <f t="shared" si="14"/>
        <v>0.02373887240356083</v>
      </c>
    </row>
    <row r="170" spans="1:8" ht="12.75" customHeight="1">
      <c r="A170" s="184"/>
      <c r="B170" s="35">
        <v>487000</v>
      </c>
      <c r="C170" s="48"/>
      <c r="D170" s="185" t="s">
        <v>313</v>
      </c>
      <c r="E170" s="126">
        <f>SUM(E171:E173)</f>
        <v>33640.4</v>
      </c>
      <c r="F170" s="122">
        <f>SUM(F171:F173)</f>
        <v>18000</v>
      </c>
      <c r="G170" s="122">
        <f t="shared" si="12"/>
        <v>53.50709266239403</v>
      </c>
      <c r="H170" s="123">
        <f t="shared" si="14"/>
        <v>0.05341246290801187</v>
      </c>
    </row>
    <row r="171" spans="1:8" ht="12" customHeight="1">
      <c r="A171" s="184" t="s">
        <v>24</v>
      </c>
      <c r="B171" s="35"/>
      <c r="C171" s="48">
        <v>487900</v>
      </c>
      <c r="D171" s="70" t="s">
        <v>138</v>
      </c>
      <c r="E171" s="131">
        <v>20000</v>
      </c>
      <c r="F171" s="131">
        <v>8000</v>
      </c>
      <c r="G171" s="125">
        <f t="shared" si="12"/>
        <v>40</v>
      </c>
      <c r="H171" s="192">
        <f t="shared" si="14"/>
        <v>0.02373887240356083</v>
      </c>
    </row>
    <row r="172" spans="1:8" ht="13.5" customHeight="1">
      <c r="A172" s="108" t="s">
        <v>24</v>
      </c>
      <c r="B172" s="183"/>
      <c r="C172" s="48">
        <v>487900</v>
      </c>
      <c r="D172" s="70" t="s">
        <v>421</v>
      </c>
      <c r="E172" s="131">
        <v>3640.4</v>
      </c>
      <c r="F172" s="131">
        <v>0</v>
      </c>
      <c r="G172" s="125">
        <f t="shared" si="12"/>
        <v>0</v>
      </c>
      <c r="H172" s="192">
        <f t="shared" si="14"/>
        <v>0</v>
      </c>
    </row>
    <row r="173" spans="1:8" ht="12.75" customHeight="1">
      <c r="A173" s="106" t="s">
        <v>24</v>
      </c>
      <c r="B173" s="109"/>
      <c r="C173" s="48">
        <v>487900</v>
      </c>
      <c r="D173" s="70" t="s">
        <v>252</v>
      </c>
      <c r="E173" s="131">
        <v>10000</v>
      </c>
      <c r="F173" s="131">
        <v>10000</v>
      </c>
      <c r="G173" s="125">
        <f t="shared" si="12"/>
        <v>100</v>
      </c>
      <c r="H173" s="192">
        <f t="shared" si="14"/>
        <v>0.029673590504451036</v>
      </c>
    </row>
    <row r="174" spans="1:8" ht="24" customHeight="1">
      <c r="A174" s="493"/>
      <c r="B174" s="494"/>
      <c r="C174" s="481" t="s">
        <v>194</v>
      </c>
      <c r="D174" s="482"/>
      <c r="E174" s="397">
        <f>E112+E117+E119+E157+E168+E170</f>
        <v>2412507.55</v>
      </c>
      <c r="F174" s="397">
        <f>F112+F117+F119+F157+F168+F170</f>
        <v>2186400</v>
      </c>
      <c r="G174" s="340">
        <f t="shared" si="12"/>
        <v>90.62769565218564</v>
      </c>
      <c r="H174" s="361">
        <f t="shared" si="14"/>
        <v>6.487833827893175</v>
      </c>
    </row>
    <row r="175" spans="1:8" ht="9.75" customHeight="1">
      <c r="A175" s="493"/>
      <c r="B175" s="494"/>
      <c r="C175" s="479" t="s">
        <v>486</v>
      </c>
      <c r="D175" s="479"/>
      <c r="E175" s="174"/>
      <c r="F175" s="174"/>
      <c r="G175" s="174"/>
      <c r="H175" s="175"/>
    </row>
    <row r="176" spans="1:8" ht="9.75" customHeight="1">
      <c r="A176" s="493"/>
      <c r="B176" s="494"/>
      <c r="C176" s="479"/>
      <c r="D176" s="479"/>
      <c r="E176" s="176"/>
      <c r="F176" s="176"/>
      <c r="G176" s="176"/>
      <c r="H176" s="177"/>
    </row>
    <row r="177" spans="1:8" ht="21.75" customHeight="1">
      <c r="A177" s="493"/>
      <c r="B177" s="494"/>
      <c r="C177" s="479"/>
      <c r="D177" s="479"/>
      <c r="E177" s="178"/>
      <c r="F177" s="178"/>
      <c r="G177" s="178"/>
      <c r="H177" s="179"/>
    </row>
    <row r="178" spans="1:8" ht="14.25" customHeight="1">
      <c r="A178" s="106"/>
      <c r="B178" s="35">
        <v>412000</v>
      </c>
      <c r="C178" s="41"/>
      <c r="D178" s="120" t="s">
        <v>114</v>
      </c>
      <c r="E178" s="122">
        <f>SUM(E179:E183)</f>
        <v>119894</v>
      </c>
      <c r="F178" s="122">
        <f>SUM(F179:F183)</f>
        <v>85400</v>
      </c>
      <c r="G178" s="122">
        <f aca="true" t="shared" si="15" ref="G178:G187">IF(E178&gt;0,F178/E178*100,0)</f>
        <v>71.22958613441874</v>
      </c>
      <c r="H178" s="123">
        <f aca="true" t="shared" si="16" ref="H178:H187">F178/$F$608*100</f>
        <v>0.2534124629080119</v>
      </c>
    </row>
    <row r="179" spans="1:8" ht="24.75" customHeight="1">
      <c r="A179" s="106" t="s">
        <v>31</v>
      </c>
      <c r="B179" s="35"/>
      <c r="C179" s="48">
        <v>412700</v>
      </c>
      <c r="D179" s="70" t="s">
        <v>159</v>
      </c>
      <c r="E179" s="129">
        <v>12500</v>
      </c>
      <c r="F179" s="129">
        <v>10000</v>
      </c>
      <c r="G179" s="125">
        <f t="shared" si="15"/>
        <v>80</v>
      </c>
      <c r="H179" s="192">
        <f t="shared" si="16"/>
        <v>0.029673590504451036</v>
      </c>
    </row>
    <row r="180" spans="1:8" ht="25.5" customHeight="1">
      <c r="A180" s="106" t="s">
        <v>31</v>
      </c>
      <c r="B180" s="35"/>
      <c r="C180" s="48">
        <v>412700</v>
      </c>
      <c r="D180" s="70" t="s">
        <v>95</v>
      </c>
      <c r="E180" s="173">
        <v>15000</v>
      </c>
      <c r="F180" s="173">
        <v>15000</v>
      </c>
      <c r="G180" s="125">
        <f t="shared" si="15"/>
        <v>100</v>
      </c>
      <c r="H180" s="192">
        <f t="shared" si="16"/>
        <v>0.044510385756676554</v>
      </c>
    </row>
    <row r="181" spans="1:8" ht="12.75">
      <c r="A181" s="106" t="s">
        <v>21</v>
      </c>
      <c r="B181" s="109"/>
      <c r="C181" s="48">
        <v>412900</v>
      </c>
      <c r="D181" s="70" t="s">
        <v>22</v>
      </c>
      <c r="E181" s="129">
        <v>400</v>
      </c>
      <c r="F181" s="125">
        <v>400</v>
      </c>
      <c r="G181" s="125">
        <f t="shared" si="15"/>
        <v>100</v>
      </c>
      <c r="H181" s="192">
        <f t="shared" si="16"/>
        <v>0.0011869436201780415</v>
      </c>
    </row>
    <row r="182" spans="1:8" ht="25.5">
      <c r="A182" s="106" t="s">
        <v>21</v>
      </c>
      <c r="B182" s="109"/>
      <c r="C182" s="48">
        <v>412900</v>
      </c>
      <c r="D182" s="70" t="s">
        <v>94</v>
      </c>
      <c r="E182" s="129">
        <v>19000</v>
      </c>
      <c r="F182" s="125">
        <v>20000</v>
      </c>
      <c r="G182" s="125">
        <f t="shared" si="15"/>
        <v>105.26315789473684</v>
      </c>
      <c r="H182" s="192">
        <f t="shared" si="16"/>
        <v>0.05934718100890207</v>
      </c>
    </row>
    <row r="183" spans="1:8" ht="15" customHeight="1">
      <c r="A183" s="106" t="s">
        <v>31</v>
      </c>
      <c r="B183" s="109"/>
      <c r="C183" s="48">
        <v>412900</v>
      </c>
      <c r="D183" s="70" t="s">
        <v>556</v>
      </c>
      <c r="E183" s="129">
        <v>72994</v>
      </c>
      <c r="F183" s="125">
        <v>40000</v>
      </c>
      <c r="G183" s="125">
        <f t="shared" si="15"/>
        <v>54.79902457736252</v>
      </c>
      <c r="H183" s="192">
        <f t="shared" si="16"/>
        <v>0.11869436201780414</v>
      </c>
    </row>
    <row r="184" spans="1:8" ht="12.75">
      <c r="A184" s="106"/>
      <c r="B184" s="35">
        <v>416100</v>
      </c>
      <c r="C184" s="48"/>
      <c r="D184" s="120" t="s">
        <v>1</v>
      </c>
      <c r="E184" s="122">
        <f>SUM(E185:E186)</f>
        <v>47006</v>
      </c>
      <c r="F184" s="122">
        <f>SUM(F185:F186)</f>
        <v>45000</v>
      </c>
      <c r="G184" s="122">
        <f t="shared" si="15"/>
        <v>95.73245968599753</v>
      </c>
      <c r="H184" s="123">
        <f t="shared" si="16"/>
        <v>0.13353115727002968</v>
      </c>
    </row>
    <row r="185" spans="1:8" ht="12.75">
      <c r="A185" s="106" t="s">
        <v>31</v>
      </c>
      <c r="B185" s="109"/>
      <c r="C185" s="48">
        <v>416100</v>
      </c>
      <c r="D185" s="70" t="s">
        <v>379</v>
      </c>
      <c r="E185" s="51">
        <v>7000</v>
      </c>
      <c r="F185" s="173">
        <v>10000</v>
      </c>
      <c r="G185" s="125">
        <f t="shared" si="15"/>
        <v>142.85714285714286</v>
      </c>
      <c r="H185" s="192">
        <f t="shared" si="16"/>
        <v>0.029673590504451036</v>
      </c>
    </row>
    <row r="186" spans="1:8" ht="25.5">
      <c r="A186" s="205" t="s">
        <v>31</v>
      </c>
      <c r="B186" s="109"/>
      <c r="C186" s="48">
        <v>416100</v>
      </c>
      <c r="D186" s="70" t="s">
        <v>557</v>
      </c>
      <c r="E186" s="51">
        <v>40006</v>
      </c>
      <c r="F186" s="173">
        <v>35000</v>
      </c>
      <c r="G186" s="125">
        <f t="shared" si="15"/>
        <v>87.48687696845472</v>
      </c>
      <c r="H186" s="192">
        <f t="shared" si="16"/>
        <v>0.10385756676557863</v>
      </c>
    </row>
    <row r="187" spans="1:8" ht="30" customHeight="1">
      <c r="A187" s="493"/>
      <c r="B187" s="494"/>
      <c r="C187" s="481" t="s">
        <v>197</v>
      </c>
      <c r="D187" s="482"/>
      <c r="E187" s="144">
        <f>E178+E184</f>
        <v>166900</v>
      </c>
      <c r="F187" s="144">
        <f>F178+F184</f>
        <v>130400</v>
      </c>
      <c r="G187" s="340">
        <f t="shared" si="15"/>
        <v>78.13061713600959</v>
      </c>
      <c r="H187" s="361">
        <f t="shared" si="16"/>
        <v>0.3869436201780415</v>
      </c>
    </row>
    <row r="188" spans="1:8" ht="9.75" customHeight="1">
      <c r="A188" s="493"/>
      <c r="B188" s="494"/>
      <c r="C188" s="479" t="s">
        <v>485</v>
      </c>
      <c r="D188" s="479"/>
      <c r="E188" s="174"/>
      <c r="F188" s="174"/>
      <c r="G188" s="174"/>
      <c r="H188" s="175"/>
    </row>
    <row r="189" spans="1:8" ht="9.75" customHeight="1">
      <c r="A189" s="493"/>
      <c r="B189" s="494"/>
      <c r="C189" s="479"/>
      <c r="D189" s="479"/>
      <c r="E189" s="176"/>
      <c r="F189" s="176"/>
      <c r="G189" s="176"/>
      <c r="H189" s="177"/>
    </row>
    <row r="190" spans="1:8" ht="9.75" customHeight="1">
      <c r="A190" s="493"/>
      <c r="B190" s="494"/>
      <c r="C190" s="479"/>
      <c r="D190" s="479"/>
      <c r="E190" s="176"/>
      <c r="F190" s="176"/>
      <c r="G190" s="176"/>
      <c r="H190" s="177"/>
    </row>
    <row r="191" spans="1:8" ht="11.25" customHeight="1">
      <c r="A191" s="493"/>
      <c r="B191" s="494"/>
      <c r="C191" s="479"/>
      <c r="D191" s="479"/>
      <c r="E191" s="178"/>
      <c r="F191" s="178"/>
      <c r="G191" s="178"/>
      <c r="H191" s="179"/>
    </row>
    <row r="192" spans="1:8" ht="14.25" customHeight="1">
      <c r="A192" s="106"/>
      <c r="B192" s="35">
        <v>412000</v>
      </c>
      <c r="C192" s="60"/>
      <c r="D192" s="120" t="s">
        <v>114</v>
      </c>
      <c r="E192" s="122">
        <f>SUM(E193:E199)</f>
        <v>224300</v>
      </c>
      <c r="F192" s="122">
        <f>SUM(F193:F199)</f>
        <v>206300</v>
      </c>
      <c r="G192" s="122">
        <f aca="true" t="shared" si="17" ref="G192:G254">IF(E192&gt;0,F192/E192*100,0)</f>
        <v>91.97503343736068</v>
      </c>
      <c r="H192" s="123">
        <f aca="true" t="shared" si="18" ref="H192:H223">F192/$F$608*100</f>
        <v>0.6121661721068249</v>
      </c>
    </row>
    <row r="193" spans="1:8" ht="14.25" customHeight="1">
      <c r="A193" s="106" t="s">
        <v>21</v>
      </c>
      <c r="B193" s="35"/>
      <c r="C193" s="48">
        <v>412100</v>
      </c>
      <c r="D193" s="70" t="s">
        <v>215</v>
      </c>
      <c r="E193" s="173">
        <v>55000</v>
      </c>
      <c r="F193" s="173">
        <v>50000</v>
      </c>
      <c r="G193" s="125">
        <f t="shared" si="17"/>
        <v>90.9090909090909</v>
      </c>
      <c r="H193" s="192">
        <f t="shared" si="18"/>
        <v>0.1483679525222552</v>
      </c>
    </row>
    <row r="194" spans="1:8" ht="25.5">
      <c r="A194" s="106" t="s">
        <v>21</v>
      </c>
      <c r="B194" s="35"/>
      <c r="C194" s="48">
        <v>412200</v>
      </c>
      <c r="D194" s="70" t="s">
        <v>422</v>
      </c>
      <c r="E194" s="131">
        <v>72000</v>
      </c>
      <c r="F194" s="131">
        <v>68000</v>
      </c>
      <c r="G194" s="125">
        <f t="shared" si="17"/>
        <v>94.44444444444444</v>
      </c>
      <c r="H194" s="192">
        <f t="shared" si="18"/>
        <v>0.20178041543026706</v>
      </c>
    </row>
    <row r="195" spans="1:8" ht="12.75" customHeight="1">
      <c r="A195" s="108" t="s">
        <v>21</v>
      </c>
      <c r="B195" s="109"/>
      <c r="C195" s="180">
        <v>412700</v>
      </c>
      <c r="D195" s="75" t="s">
        <v>160</v>
      </c>
      <c r="E195" s="131">
        <v>7000</v>
      </c>
      <c r="F195" s="131">
        <v>5000</v>
      </c>
      <c r="G195" s="125">
        <f t="shared" si="17"/>
        <v>71.42857142857143</v>
      </c>
      <c r="H195" s="192">
        <f t="shared" si="18"/>
        <v>0.014836795252225518</v>
      </c>
    </row>
    <row r="196" spans="1:8" ht="12.75" customHeight="1">
      <c r="A196" s="108" t="s">
        <v>21</v>
      </c>
      <c r="B196" s="109"/>
      <c r="C196" s="180">
        <v>412700</v>
      </c>
      <c r="D196" s="75" t="s">
        <v>121</v>
      </c>
      <c r="E196" s="131">
        <v>1000</v>
      </c>
      <c r="F196" s="131">
        <v>900</v>
      </c>
      <c r="G196" s="125">
        <f t="shared" si="17"/>
        <v>90</v>
      </c>
      <c r="H196" s="192">
        <f t="shared" si="18"/>
        <v>0.0026706231454005935</v>
      </c>
    </row>
    <row r="197" spans="1:8" ht="14.25" customHeight="1">
      <c r="A197" s="106" t="s">
        <v>21</v>
      </c>
      <c r="B197" s="109"/>
      <c r="C197" s="48">
        <v>412900</v>
      </c>
      <c r="D197" s="70" t="s">
        <v>216</v>
      </c>
      <c r="E197" s="173">
        <v>87000</v>
      </c>
      <c r="F197" s="131">
        <v>80000</v>
      </c>
      <c r="G197" s="125">
        <f t="shared" si="17"/>
        <v>91.95402298850574</v>
      </c>
      <c r="H197" s="192">
        <f t="shared" si="18"/>
        <v>0.2373887240356083</v>
      </c>
    </row>
    <row r="198" spans="1:8" ht="12.75" customHeight="1">
      <c r="A198" s="106" t="s">
        <v>21</v>
      </c>
      <c r="B198" s="109"/>
      <c r="C198" s="48">
        <v>412900</v>
      </c>
      <c r="D198" s="70" t="s">
        <v>0</v>
      </c>
      <c r="E198" s="129">
        <v>400</v>
      </c>
      <c r="F198" s="129">
        <v>400</v>
      </c>
      <c r="G198" s="125">
        <f t="shared" si="17"/>
        <v>100</v>
      </c>
      <c r="H198" s="192">
        <f t="shared" si="18"/>
        <v>0.0011869436201780415</v>
      </c>
    </row>
    <row r="199" spans="1:8" ht="12.75" customHeight="1">
      <c r="A199" s="106" t="s">
        <v>21</v>
      </c>
      <c r="B199" s="109"/>
      <c r="C199" s="48">
        <v>412900</v>
      </c>
      <c r="D199" s="70" t="s">
        <v>526</v>
      </c>
      <c r="E199" s="129">
        <v>1900</v>
      </c>
      <c r="F199" s="129">
        <v>2000</v>
      </c>
      <c r="G199" s="125">
        <f t="shared" si="17"/>
        <v>105.26315789473684</v>
      </c>
      <c r="H199" s="192">
        <f t="shared" si="18"/>
        <v>0.005934718100890208</v>
      </c>
    </row>
    <row r="200" spans="1:8" ht="15" customHeight="1">
      <c r="A200" s="106"/>
      <c r="B200" s="35"/>
      <c r="C200" s="48"/>
      <c r="D200" s="120" t="s">
        <v>177</v>
      </c>
      <c r="E200" s="160">
        <f>SUM(E201:E208)</f>
        <v>920600</v>
      </c>
      <c r="F200" s="122">
        <f>SUM(F201:F208)</f>
        <v>707000</v>
      </c>
      <c r="G200" s="122">
        <f t="shared" si="17"/>
        <v>76.79774060395394</v>
      </c>
      <c r="H200" s="123">
        <f t="shared" si="18"/>
        <v>2.0979228486646884</v>
      </c>
    </row>
    <row r="201" spans="1:8" ht="51.75" customHeight="1">
      <c r="A201" s="108" t="s">
        <v>33</v>
      </c>
      <c r="B201" s="109"/>
      <c r="C201" s="78">
        <v>412800</v>
      </c>
      <c r="D201" s="75" t="s">
        <v>477</v>
      </c>
      <c r="E201" s="125">
        <v>140000</v>
      </c>
      <c r="F201" s="125">
        <v>120000</v>
      </c>
      <c r="G201" s="125">
        <f t="shared" si="17"/>
        <v>85.71428571428571</v>
      </c>
      <c r="H201" s="192">
        <f t="shared" si="18"/>
        <v>0.35608308605341243</v>
      </c>
    </row>
    <row r="202" spans="1:8" ht="40.5" customHeight="1">
      <c r="A202" s="108" t="s">
        <v>33</v>
      </c>
      <c r="B202" s="109"/>
      <c r="C202" s="78">
        <v>412800</v>
      </c>
      <c r="D202" s="75" t="s">
        <v>434</v>
      </c>
      <c r="E202" s="131">
        <v>160000</v>
      </c>
      <c r="F202" s="131">
        <v>120000</v>
      </c>
      <c r="G202" s="125">
        <f t="shared" si="17"/>
        <v>75</v>
      </c>
      <c r="H202" s="192">
        <f t="shared" si="18"/>
        <v>0.35608308605341243</v>
      </c>
    </row>
    <row r="203" spans="1:8" ht="14.25" customHeight="1">
      <c r="A203" s="108" t="s">
        <v>33</v>
      </c>
      <c r="B203" s="109"/>
      <c r="C203" s="78">
        <v>412800</v>
      </c>
      <c r="D203" s="75" t="s">
        <v>435</v>
      </c>
      <c r="E203" s="173">
        <v>121400</v>
      </c>
      <c r="F203" s="173">
        <v>100000</v>
      </c>
      <c r="G203" s="125">
        <f t="shared" si="17"/>
        <v>82.37232289950576</v>
      </c>
      <c r="H203" s="192">
        <f t="shared" si="18"/>
        <v>0.2967359050445104</v>
      </c>
    </row>
    <row r="204" spans="1:8" ht="12" customHeight="1">
      <c r="A204" s="108" t="s">
        <v>33</v>
      </c>
      <c r="B204" s="109"/>
      <c r="C204" s="78">
        <v>412800</v>
      </c>
      <c r="D204" s="75" t="s">
        <v>685</v>
      </c>
      <c r="E204" s="131">
        <v>370000</v>
      </c>
      <c r="F204" s="131">
        <v>260000</v>
      </c>
      <c r="G204" s="125">
        <f t="shared" si="17"/>
        <v>70.27027027027027</v>
      </c>
      <c r="H204" s="192">
        <f t="shared" si="18"/>
        <v>0.771513353115727</v>
      </c>
    </row>
    <row r="205" spans="1:8" ht="12.75">
      <c r="A205" s="108" t="s">
        <v>33</v>
      </c>
      <c r="B205" s="109"/>
      <c r="C205" s="78">
        <v>412800</v>
      </c>
      <c r="D205" s="75" t="s">
        <v>517</v>
      </c>
      <c r="E205" s="173">
        <v>70200</v>
      </c>
      <c r="F205" s="173">
        <v>50000</v>
      </c>
      <c r="G205" s="125">
        <f t="shared" si="17"/>
        <v>71.22507122507122</v>
      </c>
      <c r="H205" s="192">
        <f t="shared" si="18"/>
        <v>0.1483679525222552</v>
      </c>
    </row>
    <row r="206" spans="1:8" ht="12.75">
      <c r="A206" s="108" t="s">
        <v>33</v>
      </c>
      <c r="B206" s="109"/>
      <c r="C206" s="109">
        <v>412800</v>
      </c>
      <c r="D206" s="57" t="s">
        <v>170</v>
      </c>
      <c r="E206" s="173">
        <v>12000</v>
      </c>
      <c r="F206" s="173">
        <v>12000</v>
      </c>
      <c r="G206" s="125">
        <f t="shared" si="17"/>
        <v>100</v>
      </c>
      <c r="H206" s="192">
        <f t="shared" si="18"/>
        <v>0.03560830860534125</v>
      </c>
    </row>
    <row r="207" spans="1:8" ht="12.75">
      <c r="A207" s="108" t="s">
        <v>33</v>
      </c>
      <c r="B207" s="109"/>
      <c r="C207" s="78">
        <v>412800</v>
      </c>
      <c r="D207" s="75" t="s">
        <v>34</v>
      </c>
      <c r="E207" s="173">
        <v>21000</v>
      </c>
      <c r="F207" s="173">
        <v>20000</v>
      </c>
      <c r="G207" s="125">
        <f t="shared" si="17"/>
        <v>95.23809523809523</v>
      </c>
      <c r="H207" s="192">
        <f t="shared" si="18"/>
        <v>0.05934718100890207</v>
      </c>
    </row>
    <row r="208" spans="1:8" ht="15" customHeight="1">
      <c r="A208" s="108" t="s">
        <v>33</v>
      </c>
      <c r="B208" s="109"/>
      <c r="C208" s="78">
        <v>412800</v>
      </c>
      <c r="D208" s="75" t="s">
        <v>110</v>
      </c>
      <c r="E208" s="173">
        <v>26000</v>
      </c>
      <c r="F208" s="131">
        <v>25000</v>
      </c>
      <c r="G208" s="125">
        <f t="shared" si="17"/>
        <v>96.15384615384616</v>
      </c>
      <c r="H208" s="192">
        <f t="shared" si="18"/>
        <v>0.0741839762611276</v>
      </c>
    </row>
    <row r="209" spans="1:8" ht="16.5" customHeight="1">
      <c r="A209" s="106"/>
      <c r="B209" s="109"/>
      <c r="C209" s="77"/>
      <c r="D209" s="74" t="s">
        <v>35</v>
      </c>
      <c r="E209" s="160">
        <f>SUM(E210:E214)</f>
        <v>264500</v>
      </c>
      <c r="F209" s="122">
        <f>SUM(F210:F214)</f>
        <v>375000</v>
      </c>
      <c r="G209" s="122">
        <f t="shared" si="17"/>
        <v>141.77693761814746</v>
      </c>
      <c r="H209" s="123">
        <f t="shared" si="18"/>
        <v>1.112759643916914</v>
      </c>
    </row>
    <row r="210" spans="1:8" ht="24.75" customHeight="1">
      <c r="A210" s="106" t="s">
        <v>36</v>
      </c>
      <c r="B210" s="109"/>
      <c r="C210" s="78">
        <v>412500</v>
      </c>
      <c r="D210" s="75" t="s">
        <v>367</v>
      </c>
      <c r="E210" s="125">
        <v>185000</v>
      </c>
      <c r="F210" s="125">
        <v>270000</v>
      </c>
      <c r="G210" s="125">
        <f t="shared" si="17"/>
        <v>145.94594594594594</v>
      </c>
      <c r="H210" s="192">
        <f t="shared" si="18"/>
        <v>0.8011869436201781</v>
      </c>
    </row>
    <row r="211" spans="1:8" ht="24.75" customHeight="1">
      <c r="A211" s="106" t="s">
        <v>36</v>
      </c>
      <c r="B211" s="109"/>
      <c r="C211" s="78">
        <v>412500</v>
      </c>
      <c r="D211" s="57" t="s">
        <v>164</v>
      </c>
      <c r="E211" s="129">
        <v>25300</v>
      </c>
      <c r="F211" s="129">
        <v>30000</v>
      </c>
      <c r="G211" s="125">
        <f t="shared" si="17"/>
        <v>118.57707509881423</v>
      </c>
      <c r="H211" s="192">
        <f t="shared" si="18"/>
        <v>0.08902077151335311</v>
      </c>
    </row>
    <row r="212" spans="1:8" ht="15.75" customHeight="1">
      <c r="A212" s="106" t="s">
        <v>36</v>
      </c>
      <c r="B212" s="109"/>
      <c r="C212" s="78">
        <v>412500</v>
      </c>
      <c r="D212" s="75" t="s">
        <v>174</v>
      </c>
      <c r="E212" s="131">
        <v>20000</v>
      </c>
      <c r="F212" s="131">
        <v>35000</v>
      </c>
      <c r="G212" s="125">
        <f t="shared" si="17"/>
        <v>175</v>
      </c>
      <c r="H212" s="192">
        <f t="shared" si="18"/>
        <v>0.10385756676557863</v>
      </c>
    </row>
    <row r="213" spans="1:8" ht="12.75">
      <c r="A213" s="106" t="s">
        <v>36</v>
      </c>
      <c r="B213" s="109"/>
      <c r="C213" s="78">
        <v>412500</v>
      </c>
      <c r="D213" s="75" t="s">
        <v>37</v>
      </c>
      <c r="E213" s="125">
        <v>32200</v>
      </c>
      <c r="F213" s="125">
        <v>35000</v>
      </c>
      <c r="G213" s="125">
        <f t="shared" si="17"/>
        <v>108.69565217391303</v>
      </c>
      <c r="H213" s="192">
        <f t="shared" si="18"/>
        <v>0.10385756676557863</v>
      </c>
    </row>
    <row r="214" spans="1:8" ht="12.75">
      <c r="A214" s="106" t="s">
        <v>36</v>
      </c>
      <c r="B214" s="109"/>
      <c r="C214" s="78">
        <v>412500</v>
      </c>
      <c r="D214" s="75" t="s">
        <v>38</v>
      </c>
      <c r="E214" s="131">
        <v>2000</v>
      </c>
      <c r="F214" s="131">
        <v>5000</v>
      </c>
      <c r="G214" s="125">
        <f t="shared" si="17"/>
        <v>250</v>
      </c>
      <c r="H214" s="192">
        <f t="shared" si="18"/>
        <v>0.014836795252225518</v>
      </c>
    </row>
    <row r="215" spans="1:8" ht="14.25" customHeight="1" hidden="1">
      <c r="A215" s="106"/>
      <c r="B215" s="35">
        <v>414000</v>
      </c>
      <c r="C215" s="78"/>
      <c r="D215" s="74" t="s">
        <v>165</v>
      </c>
      <c r="E215" s="160">
        <f>SUM(E216)</f>
        <v>0</v>
      </c>
      <c r="F215" s="122">
        <f>SUM(F216)</f>
        <v>0</v>
      </c>
      <c r="G215" s="122">
        <f t="shared" si="17"/>
        <v>0</v>
      </c>
      <c r="H215" s="123">
        <f t="shared" si="18"/>
        <v>0</v>
      </c>
    </row>
    <row r="216" spans="1:8" ht="12.75" customHeight="1" hidden="1">
      <c r="A216" s="106" t="s">
        <v>26</v>
      </c>
      <c r="B216" s="109"/>
      <c r="C216" s="78">
        <v>414100</v>
      </c>
      <c r="D216" s="75" t="s">
        <v>401</v>
      </c>
      <c r="E216" s="129">
        <v>0</v>
      </c>
      <c r="F216" s="129">
        <v>0</v>
      </c>
      <c r="G216" s="122">
        <f t="shared" si="17"/>
        <v>0</v>
      </c>
      <c r="H216" s="123">
        <f t="shared" si="18"/>
        <v>0</v>
      </c>
    </row>
    <row r="217" spans="1:8" ht="12.75">
      <c r="A217" s="106"/>
      <c r="B217" s="35">
        <v>415000</v>
      </c>
      <c r="C217" s="78"/>
      <c r="D217" s="74" t="s">
        <v>128</v>
      </c>
      <c r="E217" s="160">
        <f>SUM(E218:E219)</f>
        <v>21799</v>
      </c>
      <c r="F217" s="122">
        <f>SUM(F218:F218)</f>
        <v>20000</v>
      </c>
      <c r="G217" s="122">
        <f t="shared" si="17"/>
        <v>91.7473278590761</v>
      </c>
      <c r="H217" s="123">
        <f t="shared" si="18"/>
        <v>0.05934718100890207</v>
      </c>
    </row>
    <row r="218" spans="1:8" ht="12.75">
      <c r="A218" s="106" t="s">
        <v>33</v>
      </c>
      <c r="B218" s="35"/>
      <c r="C218" s="78">
        <v>415200</v>
      </c>
      <c r="D218" s="75" t="s">
        <v>511</v>
      </c>
      <c r="E218" s="173">
        <v>20000</v>
      </c>
      <c r="F218" s="173">
        <v>20000</v>
      </c>
      <c r="G218" s="125">
        <f t="shared" si="17"/>
        <v>100</v>
      </c>
      <c r="H218" s="192">
        <f t="shared" si="18"/>
        <v>0.05934718100890207</v>
      </c>
    </row>
    <row r="219" spans="1:8" ht="12.75">
      <c r="A219" s="226" t="s">
        <v>532</v>
      </c>
      <c r="B219" s="35"/>
      <c r="C219" s="78">
        <v>415200</v>
      </c>
      <c r="D219" s="75" t="s">
        <v>653</v>
      </c>
      <c r="E219" s="173">
        <v>1799</v>
      </c>
      <c r="F219" s="173">
        <v>0</v>
      </c>
      <c r="G219" s="125">
        <f>IF(E219&gt;0,F219/E219*100,0)</f>
        <v>0</v>
      </c>
      <c r="H219" s="192">
        <f t="shared" si="18"/>
        <v>0</v>
      </c>
    </row>
    <row r="220" spans="1:8" ht="12.75">
      <c r="A220" s="108"/>
      <c r="B220" s="35">
        <v>416000</v>
      </c>
      <c r="C220" s="78"/>
      <c r="D220" s="293" t="s">
        <v>1</v>
      </c>
      <c r="E220" s="160">
        <f>SUM(E221)</f>
        <v>600</v>
      </c>
      <c r="F220" s="122">
        <f>SUM(F221)</f>
        <v>600</v>
      </c>
      <c r="G220" s="122">
        <f t="shared" si="17"/>
        <v>100</v>
      </c>
      <c r="H220" s="123">
        <f t="shared" si="18"/>
        <v>0.0017804154302670625</v>
      </c>
    </row>
    <row r="221" spans="1:8" ht="12.75">
      <c r="A221" s="108" t="s">
        <v>26</v>
      </c>
      <c r="B221" s="109"/>
      <c r="C221" s="78">
        <v>416100</v>
      </c>
      <c r="D221" s="102" t="s">
        <v>401</v>
      </c>
      <c r="E221" s="131">
        <v>600</v>
      </c>
      <c r="F221" s="131">
        <v>600</v>
      </c>
      <c r="G221" s="125">
        <f t="shared" si="17"/>
        <v>100</v>
      </c>
      <c r="H221" s="192">
        <f t="shared" si="18"/>
        <v>0.0017804154302670625</v>
      </c>
    </row>
    <row r="222" spans="1:8" ht="12.75">
      <c r="A222" s="106"/>
      <c r="B222" s="35">
        <v>511000</v>
      </c>
      <c r="C222" s="109"/>
      <c r="D222" s="120" t="s">
        <v>130</v>
      </c>
      <c r="E222" s="160">
        <f>SUM(E225:E227)</f>
        <v>72200</v>
      </c>
      <c r="F222" s="122">
        <f>SUM(F223:F227)</f>
        <v>435000</v>
      </c>
      <c r="G222" s="122">
        <f t="shared" si="17"/>
        <v>602.4930747922438</v>
      </c>
      <c r="H222" s="123">
        <f t="shared" si="18"/>
        <v>1.2908011869436202</v>
      </c>
    </row>
    <row r="223" spans="1:8" ht="12.75">
      <c r="A223" s="106" t="s">
        <v>33</v>
      </c>
      <c r="B223" s="35"/>
      <c r="C223" s="190">
        <v>511100</v>
      </c>
      <c r="D223" s="191" t="s">
        <v>554</v>
      </c>
      <c r="E223" s="129">
        <v>0</v>
      </c>
      <c r="F223" s="129">
        <v>100000</v>
      </c>
      <c r="G223" s="125">
        <f>IF(E223&gt;0,F223/E223*100,0)</f>
        <v>0</v>
      </c>
      <c r="H223" s="192">
        <f t="shared" si="18"/>
        <v>0.2967359050445104</v>
      </c>
    </row>
    <row r="224" spans="1:8" ht="12.75">
      <c r="A224" s="106" t="s">
        <v>29</v>
      </c>
      <c r="B224" s="35"/>
      <c r="C224" s="190">
        <v>511100</v>
      </c>
      <c r="D224" s="191" t="s">
        <v>559</v>
      </c>
      <c r="E224" s="129">
        <v>0</v>
      </c>
      <c r="F224" s="129">
        <v>30000</v>
      </c>
      <c r="G224" s="125">
        <f>IF(E224&gt;0,F224/E224*100,0)</f>
        <v>0</v>
      </c>
      <c r="H224" s="192">
        <f aca="true" t="shared" si="19" ref="H224:H254">F224/$F$608*100</f>
        <v>0.08902077151335311</v>
      </c>
    </row>
    <row r="225" spans="1:8" ht="25.5">
      <c r="A225" s="106" t="s">
        <v>33</v>
      </c>
      <c r="B225" s="109"/>
      <c r="C225" s="183">
        <v>511200</v>
      </c>
      <c r="D225" s="102" t="s">
        <v>588</v>
      </c>
      <c r="E225" s="173">
        <v>10200</v>
      </c>
      <c r="F225" s="173">
        <v>5000</v>
      </c>
      <c r="G225" s="125">
        <f t="shared" si="17"/>
        <v>49.01960784313725</v>
      </c>
      <c r="H225" s="192">
        <f t="shared" si="19"/>
        <v>0.014836795252225518</v>
      </c>
    </row>
    <row r="226" spans="1:8" ht="12.75">
      <c r="A226" s="106" t="s">
        <v>33</v>
      </c>
      <c r="B226" s="109"/>
      <c r="C226" s="183">
        <v>511300</v>
      </c>
      <c r="D226" s="102" t="s">
        <v>2</v>
      </c>
      <c r="E226" s="173">
        <v>0</v>
      </c>
      <c r="F226" s="173">
        <v>300000</v>
      </c>
      <c r="G226" s="125">
        <f>IF(E226&gt;0,F226/E226*100,0)</f>
        <v>0</v>
      </c>
      <c r="H226" s="192">
        <f>F226/$F$608*100</f>
        <v>0.8902077151335311</v>
      </c>
    </row>
    <row r="227" spans="1:8" ht="12.75">
      <c r="A227" s="106" t="s">
        <v>33</v>
      </c>
      <c r="B227" s="109"/>
      <c r="C227" s="183">
        <v>511300</v>
      </c>
      <c r="D227" s="102" t="s">
        <v>533</v>
      </c>
      <c r="E227" s="131">
        <v>62000</v>
      </c>
      <c r="F227" s="131">
        <v>0</v>
      </c>
      <c r="G227" s="125">
        <f t="shared" si="17"/>
        <v>0</v>
      </c>
      <c r="H227" s="192">
        <f t="shared" si="19"/>
        <v>0</v>
      </c>
    </row>
    <row r="228" spans="1:8" ht="16.5" customHeight="1">
      <c r="A228" s="106"/>
      <c r="B228" s="109"/>
      <c r="C228" s="67"/>
      <c r="D228" s="74" t="s">
        <v>370</v>
      </c>
      <c r="E228" s="160">
        <f>E229+E241</f>
        <v>4273348.14</v>
      </c>
      <c r="F228" s="122">
        <f>F229+F241</f>
        <v>5740000</v>
      </c>
      <c r="G228" s="122">
        <f t="shared" si="17"/>
        <v>134.3209074465906</v>
      </c>
      <c r="H228" s="123">
        <f t="shared" si="19"/>
        <v>17.032640949554896</v>
      </c>
    </row>
    <row r="229" spans="1:8" ht="14.25" customHeight="1">
      <c r="A229" s="106"/>
      <c r="B229" s="109"/>
      <c r="C229" s="67"/>
      <c r="D229" s="74" t="s">
        <v>269</v>
      </c>
      <c r="E229" s="186">
        <f>SUM(E230:E240)</f>
        <v>2598674.79</v>
      </c>
      <c r="F229" s="187">
        <f>SUM(F230:F240)</f>
        <v>240000</v>
      </c>
      <c r="G229" s="187">
        <f t="shared" si="17"/>
        <v>9.235476517629202</v>
      </c>
      <c r="H229" s="359">
        <f t="shared" si="19"/>
        <v>0.7121661721068249</v>
      </c>
    </row>
    <row r="230" spans="1:8" ht="15.75" customHeight="1">
      <c r="A230" s="188" t="s">
        <v>29</v>
      </c>
      <c r="B230" s="189"/>
      <c r="C230" s="190">
        <v>511100</v>
      </c>
      <c r="D230" s="191" t="s">
        <v>559</v>
      </c>
      <c r="E230" s="131">
        <v>10000</v>
      </c>
      <c r="F230" s="131">
        <v>0</v>
      </c>
      <c r="G230" s="125">
        <f t="shared" si="17"/>
        <v>0</v>
      </c>
      <c r="H230" s="192">
        <f t="shared" si="19"/>
        <v>0</v>
      </c>
    </row>
    <row r="231" spans="1:8" ht="38.25">
      <c r="A231" s="188" t="s">
        <v>33</v>
      </c>
      <c r="B231" s="189"/>
      <c r="C231" s="190">
        <v>511200</v>
      </c>
      <c r="D231" s="347" t="s">
        <v>263</v>
      </c>
      <c r="E231" s="173">
        <v>1533000</v>
      </c>
      <c r="F231" s="173">
        <v>240000</v>
      </c>
      <c r="G231" s="125">
        <f t="shared" si="17"/>
        <v>15.655577299412915</v>
      </c>
      <c r="H231" s="192">
        <f t="shared" si="19"/>
        <v>0.7121661721068249</v>
      </c>
    </row>
    <row r="232" spans="1:8" ht="45.75" customHeight="1">
      <c r="A232" s="188" t="s">
        <v>33</v>
      </c>
      <c r="B232" s="189"/>
      <c r="C232" s="190">
        <v>511200</v>
      </c>
      <c r="D232" s="191" t="s">
        <v>655</v>
      </c>
      <c r="E232" s="173">
        <v>122304.44</v>
      </c>
      <c r="F232" s="173">
        <v>0</v>
      </c>
      <c r="G232" s="125">
        <f t="shared" si="17"/>
        <v>0</v>
      </c>
      <c r="H232" s="192">
        <f t="shared" si="19"/>
        <v>0</v>
      </c>
    </row>
    <row r="233" spans="1:8" ht="38.25">
      <c r="A233" s="188" t="s">
        <v>33</v>
      </c>
      <c r="B233" s="189"/>
      <c r="C233" s="190">
        <v>511200</v>
      </c>
      <c r="D233" s="191" t="s">
        <v>654</v>
      </c>
      <c r="E233" s="173">
        <v>141925.85</v>
      </c>
      <c r="F233" s="173">
        <v>0</v>
      </c>
      <c r="G233" s="125">
        <f t="shared" si="17"/>
        <v>0</v>
      </c>
      <c r="H233" s="192">
        <f t="shared" si="19"/>
        <v>0</v>
      </c>
    </row>
    <row r="234" spans="1:8" ht="44.25" customHeight="1">
      <c r="A234" s="188" t="s">
        <v>33</v>
      </c>
      <c r="B234" s="189"/>
      <c r="C234" s="190">
        <v>511200</v>
      </c>
      <c r="D234" s="191" t="s">
        <v>656</v>
      </c>
      <c r="E234" s="173">
        <v>253394.19</v>
      </c>
      <c r="F234" s="173">
        <v>0</v>
      </c>
      <c r="G234" s="125">
        <f t="shared" si="17"/>
        <v>0</v>
      </c>
      <c r="H234" s="192">
        <f t="shared" si="19"/>
        <v>0</v>
      </c>
    </row>
    <row r="235" spans="1:8" ht="38.25">
      <c r="A235" s="344" t="s">
        <v>33</v>
      </c>
      <c r="B235" s="189"/>
      <c r="C235" s="190">
        <v>511200</v>
      </c>
      <c r="D235" s="75" t="s">
        <v>660</v>
      </c>
      <c r="E235" s="173">
        <v>13690.81</v>
      </c>
      <c r="F235" s="173">
        <v>0</v>
      </c>
      <c r="G235" s="125">
        <f>IF(E235&gt;0,F235/E235*100,0)</f>
        <v>0</v>
      </c>
      <c r="H235" s="192">
        <f t="shared" si="19"/>
        <v>0</v>
      </c>
    </row>
    <row r="236" spans="1:8" ht="25.5">
      <c r="A236" s="188" t="s">
        <v>33</v>
      </c>
      <c r="B236" s="189"/>
      <c r="C236" s="190">
        <v>511200</v>
      </c>
      <c r="D236" s="191" t="s">
        <v>661</v>
      </c>
      <c r="E236" s="173">
        <v>46699.5</v>
      </c>
      <c r="F236" s="173">
        <v>0</v>
      </c>
      <c r="G236" s="125">
        <f>IF(E236&gt;0,F236/E236*100,0)</f>
        <v>0</v>
      </c>
      <c r="H236" s="192">
        <f t="shared" si="19"/>
        <v>0</v>
      </c>
    </row>
    <row r="237" spans="1:8" ht="25.5">
      <c r="A237" s="344" t="s">
        <v>33</v>
      </c>
      <c r="B237" s="345"/>
      <c r="C237" s="346">
        <v>511200</v>
      </c>
      <c r="D237" s="347" t="s">
        <v>657</v>
      </c>
      <c r="E237" s="173">
        <v>236990</v>
      </c>
      <c r="F237" s="173">
        <v>0</v>
      </c>
      <c r="G237" s="125">
        <f t="shared" si="17"/>
        <v>0</v>
      </c>
      <c r="H237" s="192">
        <f t="shared" si="19"/>
        <v>0</v>
      </c>
    </row>
    <row r="238" spans="1:8" ht="25.5">
      <c r="A238" s="344" t="s">
        <v>33</v>
      </c>
      <c r="B238" s="345"/>
      <c r="C238" s="346">
        <v>511200</v>
      </c>
      <c r="D238" s="347" t="s">
        <v>658</v>
      </c>
      <c r="E238" s="173">
        <v>40670</v>
      </c>
      <c r="F238" s="173">
        <v>0</v>
      </c>
      <c r="G238" s="125">
        <f t="shared" si="17"/>
        <v>0</v>
      </c>
      <c r="H238" s="192">
        <f t="shared" si="19"/>
        <v>0</v>
      </c>
    </row>
    <row r="239" spans="1:8" ht="25.5">
      <c r="A239" s="344" t="s">
        <v>33</v>
      </c>
      <c r="B239" s="345"/>
      <c r="C239" s="346">
        <v>511200</v>
      </c>
      <c r="D239" s="347" t="s">
        <v>659</v>
      </c>
      <c r="E239" s="173">
        <v>40000</v>
      </c>
      <c r="F239" s="173">
        <v>0</v>
      </c>
      <c r="G239" s="125">
        <f>IF(E239&gt;0,F239/E239*100,0)</f>
        <v>0</v>
      </c>
      <c r="H239" s="192">
        <f t="shared" si="19"/>
        <v>0</v>
      </c>
    </row>
    <row r="240" spans="1:8" ht="25.5">
      <c r="A240" s="193" t="s">
        <v>33</v>
      </c>
      <c r="B240" s="189"/>
      <c r="C240" s="190">
        <v>511200</v>
      </c>
      <c r="D240" s="352" t="s">
        <v>629</v>
      </c>
      <c r="E240" s="173">
        <v>160000</v>
      </c>
      <c r="F240" s="173">
        <v>0</v>
      </c>
      <c r="G240" s="125">
        <f t="shared" si="17"/>
        <v>0</v>
      </c>
      <c r="H240" s="192">
        <f t="shared" si="19"/>
        <v>0</v>
      </c>
    </row>
    <row r="241" spans="1:8" ht="12.75">
      <c r="A241" s="193"/>
      <c r="B241" s="189"/>
      <c r="C241" s="190"/>
      <c r="D241" s="303" t="s">
        <v>436</v>
      </c>
      <c r="E241" s="304">
        <f>SUM(E242:E250)</f>
        <v>1674673.3499999999</v>
      </c>
      <c r="F241" s="304">
        <f>SUM(F242:F250)</f>
        <v>5500000</v>
      </c>
      <c r="G241" s="305">
        <f t="shared" si="17"/>
        <v>328.422256197007</v>
      </c>
      <c r="H241" s="306">
        <f t="shared" si="19"/>
        <v>16.320474777448073</v>
      </c>
    </row>
    <row r="242" spans="1:8" ht="12.75">
      <c r="A242" s="433" t="s">
        <v>29</v>
      </c>
      <c r="B242" s="434"/>
      <c r="C242" s="435">
        <v>511200</v>
      </c>
      <c r="D242" s="352" t="s">
        <v>630</v>
      </c>
      <c r="E242" s="300">
        <v>0</v>
      </c>
      <c r="F242" s="300">
        <v>1300000</v>
      </c>
      <c r="G242" s="125">
        <f t="shared" si="17"/>
        <v>0</v>
      </c>
      <c r="H242" s="192">
        <f t="shared" si="19"/>
        <v>3.857566765578635</v>
      </c>
    </row>
    <row r="243" spans="1:8" ht="25.5">
      <c r="A243" s="193" t="s">
        <v>33</v>
      </c>
      <c r="B243" s="189"/>
      <c r="C243" s="435">
        <v>511200</v>
      </c>
      <c r="D243" s="352" t="s">
        <v>631</v>
      </c>
      <c r="E243" s="300">
        <v>0</v>
      </c>
      <c r="F243" s="300">
        <v>800000</v>
      </c>
      <c r="G243" s="125">
        <f>IF(E243&gt;0,F243/E243*100,0)</f>
        <v>0</v>
      </c>
      <c r="H243" s="192">
        <f t="shared" si="19"/>
        <v>2.3738872403560833</v>
      </c>
    </row>
    <row r="244" spans="1:8" ht="25.5">
      <c r="A244" s="193" t="s">
        <v>33</v>
      </c>
      <c r="B244" s="189"/>
      <c r="C244" s="190">
        <v>511200</v>
      </c>
      <c r="D244" s="352" t="s">
        <v>632</v>
      </c>
      <c r="E244" s="300">
        <v>0</v>
      </c>
      <c r="F244" s="300">
        <v>3400000</v>
      </c>
      <c r="G244" s="125">
        <f>IF(E244&gt;0,F244/E244*100,0)</f>
        <v>0</v>
      </c>
      <c r="H244" s="192">
        <f t="shared" si="19"/>
        <v>10.089020771513352</v>
      </c>
    </row>
    <row r="245" spans="1:8" ht="12.75">
      <c r="A245" s="193" t="s">
        <v>33</v>
      </c>
      <c r="B245" s="189"/>
      <c r="C245" s="190">
        <v>511200</v>
      </c>
      <c r="D245" s="352" t="s">
        <v>662</v>
      </c>
      <c r="E245" s="300">
        <v>341275.65</v>
      </c>
      <c r="F245" s="300">
        <v>0</v>
      </c>
      <c r="G245" s="125">
        <f>IF(E245&gt;0,F245/E245*100,0)</f>
        <v>0</v>
      </c>
      <c r="H245" s="192">
        <f t="shared" si="19"/>
        <v>0</v>
      </c>
    </row>
    <row r="246" spans="1:8" ht="12.75">
      <c r="A246" s="193" t="s">
        <v>33</v>
      </c>
      <c r="B246" s="189"/>
      <c r="C246" s="190">
        <v>511200</v>
      </c>
      <c r="D246" s="352" t="s">
        <v>507</v>
      </c>
      <c r="E246" s="300">
        <v>850000</v>
      </c>
      <c r="F246" s="300">
        <v>0</v>
      </c>
      <c r="G246" s="125">
        <f t="shared" si="17"/>
        <v>0</v>
      </c>
      <c r="H246" s="192">
        <f t="shared" si="19"/>
        <v>0</v>
      </c>
    </row>
    <row r="247" spans="1:8" ht="12.75" hidden="1">
      <c r="A247" s="193" t="s">
        <v>33</v>
      </c>
      <c r="B247" s="189"/>
      <c r="C247" s="190">
        <v>511200</v>
      </c>
      <c r="D247" s="352" t="s">
        <v>508</v>
      </c>
      <c r="E247" s="300">
        <v>0</v>
      </c>
      <c r="F247" s="300"/>
      <c r="G247" s="125">
        <f t="shared" si="17"/>
        <v>0</v>
      </c>
      <c r="H247" s="192">
        <f t="shared" si="19"/>
        <v>0</v>
      </c>
    </row>
    <row r="248" spans="1:8" ht="25.5" hidden="1">
      <c r="A248" s="193" t="s">
        <v>33</v>
      </c>
      <c r="B248" s="189"/>
      <c r="C248" s="190">
        <v>511200</v>
      </c>
      <c r="D248" s="352" t="s">
        <v>515</v>
      </c>
      <c r="E248" s="300">
        <v>0</v>
      </c>
      <c r="F248" s="300"/>
      <c r="G248" s="125">
        <f t="shared" si="17"/>
        <v>0</v>
      </c>
      <c r="H248" s="192">
        <f t="shared" si="19"/>
        <v>0</v>
      </c>
    </row>
    <row r="249" spans="1:8" ht="25.5">
      <c r="A249" s="193" t="s">
        <v>33</v>
      </c>
      <c r="B249" s="189"/>
      <c r="C249" s="190">
        <v>511200</v>
      </c>
      <c r="D249" s="352" t="s">
        <v>610</v>
      </c>
      <c r="E249" s="300">
        <v>250000</v>
      </c>
      <c r="F249" s="300">
        <v>0</v>
      </c>
      <c r="G249" s="125">
        <f t="shared" si="17"/>
        <v>0</v>
      </c>
      <c r="H249" s="192">
        <f t="shared" si="19"/>
        <v>0</v>
      </c>
    </row>
    <row r="250" spans="1:8" ht="39" customHeight="1">
      <c r="A250" s="193" t="s">
        <v>33</v>
      </c>
      <c r="B250" s="189"/>
      <c r="C250" s="190">
        <v>511200</v>
      </c>
      <c r="D250" s="352" t="s">
        <v>509</v>
      </c>
      <c r="E250" s="300">
        <v>233397.7</v>
      </c>
      <c r="F250" s="300">
        <v>0</v>
      </c>
      <c r="G250" s="125">
        <f t="shared" si="17"/>
        <v>0</v>
      </c>
      <c r="H250" s="192">
        <f t="shared" si="19"/>
        <v>0</v>
      </c>
    </row>
    <row r="251" spans="1:8" ht="12.75" customHeight="1" hidden="1">
      <c r="A251" s="193"/>
      <c r="B251" s="189"/>
      <c r="C251" s="190"/>
      <c r="D251" s="303"/>
      <c r="E251" s="351"/>
      <c r="F251" s="351"/>
      <c r="G251" s="122">
        <f t="shared" si="17"/>
        <v>0</v>
      </c>
      <c r="H251" s="123">
        <f t="shared" si="19"/>
        <v>0</v>
      </c>
    </row>
    <row r="252" spans="1:8" ht="36" customHeight="1" hidden="1">
      <c r="A252" s="193" t="s">
        <v>33</v>
      </c>
      <c r="B252" s="189"/>
      <c r="C252" s="190">
        <v>511200</v>
      </c>
      <c r="D252" s="191" t="s">
        <v>263</v>
      </c>
      <c r="E252" s="131">
        <v>0</v>
      </c>
      <c r="F252" s="131">
        <v>0</v>
      </c>
      <c r="G252" s="122">
        <f t="shared" si="17"/>
        <v>0</v>
      </c>
      <c r="H252" s="123">
        <f t="shared" si="19"/>
        <v>0</v>
      </c>
    </row>
    <row r="253" spans="1:8" ht="14.25" customHeight="1" hidden="1">
      <c r="A253" s="194" t="s">
        <v>33</v>
      </c>
      <c r="B253" s="195"/>
      <c r="C253" s="59">
        <v>511200</v>
      </c>
      <c r="D253" s="102" t="s">
        <v>180</v>
      </c>
      <c r="E253" s="131">
        <v>0</v>
      </c>
      <c r="F253" s="131">
        <v>0</v>
      </c>
      <c r="G253" s="122">
        <f t="shared" si="17"/>
        <v>0</v>
      </c>
      <c r="H253" s="123">
        <f t="shared" si="19"/>
        <v>0</v>
      </c>
    </row>
    <row r="254" spans="1:8" ht="27" customHeight="1">
      <c r="A254" s="497"/>
      <c r="B254" s="498"/>
      <c r="C254" s="481" t="s">
        <v>78</v>
      </c>
      <c r="D254" s="482"/>
      <c r="E254" s="144">
        <f>E192+E200+E209+E215+E217+E220+E222+E228</f>
        <v>5777347.14</v>
      </c>
      <c r="F254" s="397">
        <f>F192+F200+F209+F215+F217+F220+F222+F228</f>
        <v>7483900</v>
      </c>
      <c r="G254" s="340">
        <f t="shared" si="17"/>
        <v>129.53869342876288</v>
      </c>
      <c r="H254" s="361">
        <f t="shared" si="19"/>
        <v>22.207418397626114</v>
      </c>
    </row>
    <row r="255" spans="1:8" ht="9.75" customHeight="1">
      <c r="A255" s="493"/>
      <c r="B255" s="494"/>
      <c r="C255" s="479" t="s">
        <v>484</v>
      </c>
      <c r="D255" s="479"/>
      <c r="E255" s="135"/>
      <c r="F255" s="135"/>
      <c r="G255" s="135"/>
      <c r="H255" s="136"/>
    </row>
    <row r="256" spans="1:8" ht="9.75" customHeight="1">
      <c r="A256" s="493"/>
      <c r="B256" s="494"/>
      <c r="C256" s="479"/>
      <c r="D256" s="479"/>
      <c r="E256" s="137"/>
      <c r="F256" s="137"/>
      <c r="G256" s="137"/>
      <c r="H256" s="138"/>
    </row>
    <row r="257" spans="1:8" ht="15" customHeight="1">
      <c r="A257" s="493"/>
      <c r="B257" s="494"/>
      <c r="C257" s="479"/>
      <c r="D257" s="479"/>
      <c r="E257" s="6"/>
      <c r="F257" s="6"/>
      <c r="G257" s="137"/>
      <c r="H257" s="138"/>
    </row>
    <row r="258" spans="1:8" ht="9" customHeight="1">
      <c r="A258" s="493"/>
      <c r="B258" s="494"/>
      <c r="C258" s="479"/>
      <c r="D258" s="479"/>
      <c r="E258" s="139"/>
      <c r="F258" s="139"/>
      <c r="G258" s="139"/>
      <c r="H258" s="140"/>
    </row>
    <row r="259" spans="1:8" ht="16.5" customHeight="1">
      <c r="A259" s="106"/>
      <c r="B259" s="35">
        <v>412000</v>
      </c>
      <c r="C259" s="48"/>
      <c r="D259" s="120" t="s">
        <v>114</v>
      </c>
      <c r="E259" s="122">
        <f>SUM(E260:E262)</f>
        <v>6100</v>
      </c>
      <c r="F259" s="122">
        <f>SUM(F260:F262)</f>
        <v>6500</v>
      </c>
      <c r="G259" s="122">
        <f aca="true" t="shared" si="20" ref="G259:G287">IF(E259&gt;0,F259/E259*100,0)</f>
        <v>106.55737704918033</v>
      </c>
      <c r="H259" s="123">
        <f aca="true" t="shared" si="21" ref="H259:H287">F259/$F$608*100</f>
        <v>0.019287833827893175</v>
      </c>
    </row>
    <row r="260" spans="1:8" ht="14.25" customHeight="1">
      <c r="A260" s="106" t="s">
        <v>29</v>
      </c>
      <c r="B260" s="109"/>
      <c r="C260" s="48">
        <v>412500</v>
      </c>
      <c r="D260" s="75" t="s">
        <v>111</v>
      </c>
      <c r="E260" s="125">
        <v>4800</v>
      </c>
      <c r="F260" s="125">
        <v>5000</v>
      </c>
      <c r="G260" s="125">
        <f t="shared" si="20"/>
        <v>104.16666666666667</v>
      </c>
      <c r="H260" s="192">
        <f t="shared" si="21"/>
        <v>0.014836795252225518</v>
      </c>
    </row>
    <row r="261" spans="1:8" ht="12.75" customHeight="1">
      <c r="A261" s="106" t="s">
        <v>21</v>
      </c>
      <c r="B261" s="109"/>
      <c r="C261" s="48">
        <v>412900</v>
      </c>
      <c r="D261" s="70" t="s">
        <v>0</v>
      </c>
      <c r="E261" s="129">
        <v>1000</v>
      </c>
      <c r="F261" s="129">
        <v>1000</v>
      </c>
      <c r="G261" s="125">
        <f t="shared" si="20"/>
        <v>100</v>
      </c>
      <c r="H261" s="192">
        <f t="shared" si="21"/>
        <v>0.002967359050445104</v>
      </c>
    </row>
    <row r="262" spans="1:8" ht="25.5" customHeight="1">
      <c r="A262" s="108" t="s">
        <v>30</v>
      </c>
      <c r="B262" s="109"/>
      <c r="C262" s="48">
        <v>412900</v>
      </c>
      <c r="D262" s="70" t="s">
        <v>100</v>
      </c>
      <c r="E262" s="129">
        <v>300</v>
      </c>
      <c r="F262" s="129">
        <v>500</v>
      </c>
      <c r="G262" s="125">
        <f t="shared" si="20"/>
        <v>166.66666666666669</v>
      </c>
      <c r="H262" s="192">
        <f t="shared" si="21"/>
        <v>0.001483679525222552</v>
      </c>
    </row>
    <row r="263" spans="1:8" ht="12.75" customHeight="1">
      <c r="A263" s="108"/>
      <c r="B263" s="132">
        <v>415000</v>
      </c>
      <c r="C263" s="48"/>
      <c r="D263" s="120" t="s">
        <v>128</v>
      </c>
      <c r="E263" s="160">
        <f>SUM(E264:E282)</f>
        <v>246288.14</v>
      </c>
      <c r="F263" s="122">
        <f>SUM(F264:F282)</f>
        <v>354500</v>
      </c>
      <c r="G263" s="122">
        <f t="shared" si="20"/>
        <v>143.9370974176832</v>
      </c>
      <c r="H263" s="123">
        <f t="shared" si="21"/>
        <v>1.0519287833827893</v>
      </c>
    </row>
    <row r="264" spans="1:8" ht="12.75" customHeight="1">
      <c r="A264" s="106" t="s">
        <v>39</v>
      </c>
      <c r="B264" s="109"/>
      <c r="C264" s="48">
        <v>415200</v>
      </c>
      <c r="D264" s="75" t="s">
        <v>612</v>
      </c>
      <c r="E264" s="131">
        <v>90000</v>
      </c>
      <c r="F264" s="173">
        <v>177000</v>
      </c>
      <c r="G264" s="125">
        <f t="shared" si="20"/>
        <v>196.66666666666666</v>
      </c>
      <c r="H264" s="192">
        <f t="shared" si="21"/>
        <v>0.5252225519287834</v>
      </c>
    </row>
    <row r="265" spans="1:8" ht="12.75" customHeight="1">
      <c r="A265" s="106" t="s">
        <v>39</v>
      </c>
      <c r="B265" s="109"/>
      <c r="C265" s="48">
        <v>415200</v>
      </c>
      <c r="D265" s="75" t="s">
        <v>663</v>
      </c>
      <c r="E265" s="131">
        <v>6537.7</v>
      </c>
      <c r="F265" s="173">
        <v>0</v>
      </c>
      <c r="G265" s="125">
        <f t="shared" si="20"/>
        <v>0</v>
      </c>
      <c r="H265" s="192">
        <f t="shared" si="21"/>
        <v>0</v>
      </c>
    </row>
    <row r="266" spans="1:8" ht="14.25" customHeight="1">
      <c r="A266" s="106" t="s">
        <v>39</v>
      </c>
      <c r="B266" s="109"/>
      <c r="C266" s="48">
        <v>415200</v>
      </c>
      <c r="D266" s="102" t="s">
        <v>691</v>
      </c>
      <c r="E266" s="131">
        <v>0</v>
      </c>
      <c r="F266" s="173">
        <v>38000</v>
      </c>
      <c r="G266" s="125">
        <f t="shared" si="20"/>
        <v>0</v>
      </c>
      <c r="H266" s="192">
        <f t="shared" si="21"/>
        <v>0.11275964391691394</v>
      </c>
    </row>
    <row r="267" spans="1:8" ht="12.75" customHeight="1">
      <c r="A267" s="106" t="s">
        <v>39</v>
      </c>
      <c r="B267" s="109"/>
      <c r="C267" s="48">
        <v>415200</v>
      </c>
      <c r="D267" s="70" t="s">
        <v>611</v>
      </c>
      <c r="E267" s="173">
        <v>20000</v>
      </c>
      <c r="F267" s="173">
        <v>25000</v>
      </c>
      <c r="G267" s="125">
        <f t="shared" si="20"/>
        <v>125</v>
      </c>
      <c r="H267" s="192">
        <f t="shared" si="21"/>
        <v>0.0741839762611276</v>
      </c>
    </row>
    <row r="268" spans="1:8" ht="12.75" customHeight="1">
      <c r="A268" s="106" t="s">
        <v>39</v>
      </c>
      <c r="B268" s="109"/>
      <c r="C268" s="48">
        <v>415200</v>
      </c>
      <c r="D268" s="70" t="s">
        <v>664</v>
      </c>
      <c r="E268" s="173">
        <v>6000</v>
      </c>
      <c r="F268" s="173">
        <v>0</v>
      </c>
      <c r="G268" s="125">
        <f>IF(E268&gt;0,F268/E268*100,0)</f>
        <v>0</v>
      </c>
      <c r="H268" s="192">
        <f t="shared" si="21"/>
        <v>0</v>
      </c>
    </row>
    <row r="269" spans="1:8" ht="13.5" customHeight="1">
      <c r="A269" s="106" t="s">
        <v>39</v>
      </c>
      <c r="B269" s="109"/>
      <c r="C269" s="48">
        <v>415200</v>
      </c>
      <c r="D269" s="70" t="s">
        <v>665</v>
      </c>
      <c r="E269" s="173">
        <v>1498.44</v>
      </c>
      <c r="F269" s="173">
        <v>0</v>
      </c>
      <c r="G269" s="125">
        <f>IF(E269&gt;0,F269/E269*100,0)</f>
        <v>0</v>
      </c>
      <c r="H269" s="192">
        <f t="shared" si="21"/>
        <v>0</v>
      </c>
    </row>
    <row r="270" spans="1:8" ht="14.25" customHeight="1">
      <c r="A270" s="106" t="s">
        <v>39</v>
      </c>
      <c r="B270" s="109"/>
      <c r="C270" s="48">
        <v>415200</v>
      </c>
      <c r="D270" s="70" t="s">
        <v>623</v>
      </c>
      <c r="E270" s="131">
        <v>30000</v>
      </c>
      <c r="F270" s="173">
        <v>30000</v>
      </c>
      <c r="G270" s="125">
        <f t="shared" si="20"/>
        <v>100</v>
      </c>
      <c r="H270" s="192">
        <f t="shared" si="21"/>
        <v>0.08902077151335311</v>
      </c>
    </row>
    <row r="271" spans="1:8" ht="25.5">
      <c r="A271" s="106" t="s">
        <v>39</v>
      </c>
      <c r="B271" s="109"/>
      <c r="C271" s="48">
        <v>415200</v>
      </c>
      <c r="D271" s="70" t="s">
        <v>624</v>
      </c>
      <c r="E271" s="131">
        <v>6000</v>
      </c>
      <c r="F271" s="173">
        <v>6000</v>
      </c>
      <c r="G271" s="125">
        <f t="shared" si="20"/>
        <v>100</v>
      </c>
      <c r="H271" s="192">
        <f t="shared" si="21"/>
        <v>0.017804154302670624</v>
      </c>
    </row>
    <row r="272" spans="1:8" ht="13.5" customHeight="1">
      <c r="A272" s="106" t="s">
        <v>39</v>
      </c>
      <c r="B272" s="109"/>
      <c r="C272" s="48">
        <v>415200</v>
      </c>
      <c r="D272" s="70" t="s">
        <v>254</v>
      </c>
      <c r="E272" s="131">
        <v>5000</v>
      </c>
      <c r="F272" s="131">
        <v>5000</v>
      </c>
      <c r="G272" s="125">
        <f t="shared" si="20"/>
        <v>100</v>
      </c>
      <c r="H272" s="192">
        <f t="shared" si="21"/>
        <v>0.014836795252225518</v>
      </c>
    </row>
    <row r="273" spans="1:8" ht="13.5" customHeight="1">
      <c r="A273" s="106" t="s">
        <v>39</v>
      </c>
      <c r="B273" s="109"/>
      <c r="C273" s="48">
        <v>415200</v>
      </c>
      <c r="D273" s="70" t="s">
        <v>187</v>
      </c>
      <c r="E273" s="131">
        <v>5000</v>
      </c>
      <c r="F273" s="131">
        <v>5000</v>
      </c>
      <c r="G273" s="125">
        <f t="shared" si="20"/>
        <v>100</v>
      </c>
      <c r="H273" s="192">
        <f t="shared" si="21"/>
        <v>0.014836795252225518</v>
      </c>
    </row>
    <row r="274" spans="1:8" ht="11.25" customHeight="1">
      <c r="A274" s="106" t="s">
        <v>39</v>
      </c>
      <c r="B274" s="109"/>
      <c r="C274" s="48">
        <v>415200</v>
      </c>
      <c r="D274" s="70" t="s">
        <v>558</v>
      </c>
      <c r="E274" s="131">
        <v>1350</v>
      </c>
      <c r="F274" s="131">
        <v>0</v>
      </c>
      <c r="G274" s="125">
        <f t="shared" si="20"/>
        <v>0</v>
      </c>
      <c r="H274" s="192">
        <f t="shared" si="21"/>
        <v>0</v>
      </c>
    </row>
    <row r="275" spans="1:8" ht="13.5" customHeight="1">
      <c r="A275" s="106" t="s">
        <v>39</v>
      </c>
      <c r="B275" s="109"/>
      <c r="C275" s="48">
        <v>415200</v>
      </c>
      <c r="D275" s="70" t="s">
        <v>318</v>
      </c>
      <c r="E275" s="131">
        <v>5000</v>
      </c>
      <c r="F275" s="131">
        <v>5000</v>
      </c>
      <c r="G275" s="125">
        <f t="shared" si="20"/>
        <v>100</v>
      </c>
      <c r="H275" s="192">
        <f t="shared" si="21"/>
        <v>0.014836795252225518</v>
      </c>
    </row>
    <row r="276" spans="1:8" ht="13.5" customHeight="1">
      <c r="A276" s="106" t="s">
        <v>39</v>
      </c>
      <c r="B276" s="109"/>
      <c r="C276" s="48">
        <v>415200</v>
      </c>
      <c r="D276" s="70" t="s">
        <v>686</v>
      </c>
      <c r="E276" s="131">
        <v>0</v>
      </c>
      <c r="F276" s="131">
        <v>5000</v>
      </c>
      <c r="G276" s="125">
        <f>IF(E276&gt;0,F276/E276*100,0)</f>
        <v>0</v>
      </c>
      <c r="H276" s="192">
        <f>F276/$F$608*100</f>
        <v>0.014836795252225518</v>
      </c>
    </row>
    <row r="277" spans="1:8" ht="13.5" customHeight="1">
      <c r="A277" s="106" t="s">
        <v>39</v>
      </c>
      <c r="B277" s="109"/>
      <c r="C277" s="48">
        <v>415200</v>
      </c>
      <c r="D277" s="70" t="s">
        <v>689</v>
      </c>
      <c r="E277" s="131">
        <v>0</v>
      </c>
      <c r="F277" s="131">
        <v>5000</v>
      </c>
      <c r="G277" s="125">
        <f>IF(E277&gt;0,F277/E277*100,0)</f>
        <v>0</v>
      </c>
      <c r="H277" s="192">
        <f>F277/$F$608*100</f>
        <v>0.014836795252225518</v>
      </c>
    </row>
    <row r="278" spans="1:8" ht="13.5" customHeight="1">
      <c r="A278" s="106" t="s">
        <v>39</v>
      </c>
      <c r="B278" s="109"/>
      <c r="C278" s="48">
        <v>415200</v>
      </c>
      <c r="D278" s="70" t="s">
        <v>651</v>
      </c>
      <c r="E278" s="131">
        <v>4300</v>
      </c>
      <c r="F278" s="131">
        <v>0</v>
      </c>
      <c r="G278" s="125">
        <f t="shared" si="20"/>
        <v>0</v>
      </c>
      <c r="H278" s="192">
        <f t="shared" si="21"/>
        <v>0</v>
      </c>
    </row>
    <row r="279" spans="1:8" ht="25.5">
      <c r="A279" s="106" t="s">
        <v>39</v>
      </c>
      <c r="B279" s="109"/>
      <c r="C279" s="48">
        <v>415200</v>
      </c>
      <c r="D279" s="70" t="s">
        <v>398</v>
      </c>
      <c r="E279" s="125">
        <v>7500</v>
      </c>
      <c r="F279" s="125">
        <v>7500</v>
      </c>
      <c r="G279" s="125">
        <f t="shared" si="20"/>
        <v>100</v>
      </c>
      <c r="H279" s="192">
        <f t="shared" si="21"/>
        <v>0.022255192878338277</v>
      </c>
    </row>
    <row r="280" spans="1:8" ht="24" customHeight="1">
      <c r="A280" s="108" t="s">
        <v>39</v>
      </c>
      <c r="B280" s="183"/>
      <c r="C280" s="59">
        <v>415200</v>
      </c>
      <c r="D280" s="102" t="s">
        <v>178</v>
      </c>
      <c r="E280" s="173">
        <v>57400</v>
      </c>
      <c r="F280" s="173">
        <v>45000</v>
      </c>
      <c r="G280" s="125">
        <f t="shared" si="20"/>
        <v>78.397212543554</v>
      </c>
      <c r="H280" s="192">
        <f t="shared" si="21"/>
        <v>0.13353115727002968</v>
      </c>
    </row>
    <row r="281" spans="1:8" ht="25.5">
      <c r="A281" s="194" t="s">
        <v>39</v>
      </c>
      <c r="B281" s="183"/>
      <c r="C281" s="59">
        <v>415200</v>
      </c>
      <c r="D281" s="102" t="s">
        <v>274</v>
      </c>
      <c r="E281" s="129">
        <v>702</v>
      </c>
      <c r="F281" s="129">
        <v>1000</v>
      </c>
      <c r="G281" s="125">
        <f t="shared" si="20"/>
        <v>142.45014245014244</v>
      </c>
      <c r="H281" s="192">
        <f t="shared" si="21"/>
        <v>0.002967359050445104</v>
      </c>
    </row>
    <row r="282" spans="1:8" ht="12.75" customHeight="1" hidden="1">
      <c r="A282" s="194" t="s">
        <v>39</v>
      </c>
      <c r="B282" s="183"/>
      <c r="C282" s="59">
        <v>415200</v>
      </c>
      <c r="D282" s="102" t="s">
        <v>392</v>
      </c>
      <c r="E282" s="129"/>
      <c r="F282" s="129"/>
      <c r="G282" s="122">
        <f t="shared" si="20"/>
        <v>0</v>
      </c>
      <c r="H282" s="123">
        <f t="shared" si="21"/>
        <v>0</v>
      </c>
    </row>
    <row r="283" spans="1:8" ht="14.25" customHeight="1">
      <c r="A283" s="194"/>
      <c r="B283" s="195">
        <v>416000</v>
      </c>
      <c r="C283" s="196"/>
      <c r="D283" s="185" t="s">
        <v>1</v>
      </c>
      <c r="E283" s="197">
        <f>SUM(E284:E284)</f>
        <v>50000</v>
      </c>
      <c r="F283" s="354">
        <f>SUM(F284:F284)</f>
        <v>70000</v>
      </c>
      <c r="G283" s="122">
        <f t="shared" si="20"/>
        <v>140</v>
      </c>
      <c r="H283" s="123">
        <f t="shared" si="21"/>
        <v>0.20771513353115725</v>
      </c>
    </row>
    <row r="284" spans="1:8" ht="12.75">
      <c r="A284" s="194" t="s">
        <v>26</v>
      </c>
      <c r="B284" s="198"/>
      <c r="C284" s="59">
        <v>416100</v>
      </c>
      <c r="D284" s="102" t="s">
        <v>221</v>
      </c>
      <c r="E284" s="173">
        <v>50000</v>
      </c>
      <c r="F284" s="173">
        <v>70000</v>
      </c>
      <c r="G284" s="125">
        <f t="shared" si="20"/>
        <v>140</v>
      </c>
      <c r="H284" s="192">
        <f t="shared" si="21"/>
        <v>0.20771513353115725</v>
      </c>
    </row>
    <row r="285" spans="1:8" ht="14.25" customHeight="1" hidden="1">
      <c r="A285" s="106"/>
      <c r="B285" s="35">
        <v>487000</v>
      </c>
      <c r="C285" s="59"/>
      <c r="D285" s="120" t="s">
        <v>313</v>
      </c>
      <c r="E285" s="122">
        <f>SUM(E286)</f>
        <v>0</v>
      </c>
      <c r="F285" s="122">
        <f>SUM(F286)</f>
        <v>0</v>
      </c>
      <c r="G285" s="122">
        <f t="shared" si="20"/>
        <v>0</v>
      </c>
      <c r="H285" s="123">
        <f t="shared" si="21"/>
        <v>0</v>
      </c>
    </row>
    <row r="286" spans="1:8" ht="12.75" hidden="1">
      <c r="A286" s="106" t="s">
        <v>26</v>
      </c>
      <c r="B286" s="35"/>
      <c r="C286" s="59">
        <v>487900</v>
      </c>
      <c r="D286" s="70" t="s">
        <v>514</v>
      </c>
      <c r="E286" s="129">
        <v>0</v>
      </c>
      <c r="F286" s="129"/>
      <c r="G286" s="125">
        <f t="shared" si="20"/>
        <v>0</v>
      </c>
      <c r="H286" s="192">
        <f t="shared" si="21"/>
        <v>0</v>
      </c>
    </row>
    <row r="287" spans="1:8" ht="27" customHeight="1">
      <c r="A287" s="493"/>
      <c r="B287" s="494"/>
      <c r="C287" s="481" t="s">
        <v>79</v>
      </c>
      <c r="D287" s="482"/>
      <c r="E287" s="144">
        <f>E259+E263+E283+E285</f>
        <v>302388.14</v>
      </c>
      <c r="F287" s="397">
        <f>F259+F263+F283+F285</f>
        <v>431000</v>
      </c>
      <c r="G287" s="340">
        <f t="shared" si="20"/>
        <v>142.53204507293177</v>
      </c>
      <c r="H287" s="361">
        <f t="shared" si="21"/>
        <v>1.2789317507418396</v>
      </c>
    </row>
    <row r="288" spans="1:8" ht="9.75" customHeight="1">
      <c r="A288" s="493"/>
      <c r="B288" s="494"/>
      <c r="C288" s="479" t="s">
        <v>483</v>
      </c>
      <c r="D288" s="480"/>
      <c r="E288" s="174"/>
      <c r="F288" s="174"/>
      <c r="G288" s="174"/>
      <c r="H288" s="175"/>
    </row>
    <row r="289" spans="1:8" ht="9.75" customHeight="1">
      <c r="A289" s="493"/>
      <c r="B289" s="494"/>
      <c r="C289" s="480"/>
      <c r="D289" s="480"/>
      <c r="E289" s="176"/>
      <c r="F289" s="176"/>
      <c r="G289" s="176"/>
      <c r="H289" s="177"/>
    </row>
    <row r="290" spans="1:8" ht="21" customHeight="1">
      <c r="A290" s="493"/>
      <c r="B290" s="494"/>
      <c r="C290" s="480"/>
      <c r="D290" s="480"/>
      <c r="E290" s="178"/>
      <c r="F290" s="178"/>
      <c r="G290" s="178"/>
      <c r="H290" s="179"/>
    </row>
    <row r="291" spans="1:8" ht="14.25" customHeight="1">
      <c r="A291" s="106"/>
      <c r="B291" s="35">
        <v>412000</v>
      </c>
      <c r="C291" s="109"/>
      <c r="D291" s="120" t="s">
        <v>114</v>
      </c>
      <c r="E291" s="122">
        <f>SUM(E292:E298)</f>
        <v>42160</v>
      </c>
      <c r="F291" s="122">
        <f>SUM(F292:F297)</f>
        <v>27800</v>
      </c>
      <c r="G291" s="122">
        <f aca="true" t="shared" si="22" ref="G291:G299">IF(E291&gt;0,F291/E291*100,0)</f>
        <v>65.9392789373814</v>
      </c>
      <c r="H291" s="123">
        <f aca="true" t="shared" si="23" ref="H291:H299">F291/$F$608*100</f>
        <v>0.08249258160237388</v>
      </c>
    </row>
    <row r="292" spans="1:8" ht="12.75">
      <c r="A292" s="106" t="s">
        <v>30</v>
      </c>
      <c r="B292" s="35"/>
      <c r="C292" s="48">
        <v>412700</v>
      </c>
      <c r="D292" s="102" t="s">
        <v>96</v>
      </c>
      <c r="E292" s="173">
        <v>10000</v>
      </c>
      <c r="F292" s="173">
        <v>0</v>
      </c>
      <c r="G292" s="125">
        <f t="shared" si="22"/>
        <v>0</v>
      </c>
      <c r="H292" s="192">
        <f t="shared" si="23"/>
        <v>0</v>
      </c>
    </row>
    <row r="293" spans="1:8" ht="25.5">
      <c r="A293" s="106" t="s">
        <v>30</v>
      </c>
      <c r="B293" s="35"/>
      <c r="C293" s="48">
        <v>418400</v>
      </c>
      <c r="D293" s="75" t="s">
        <v>614</v>
      </c>
      <c r="E293" s="173">
        <v>6500</v>
      </c>
      <c r="F293" s="173">
        <v>0</v>
      </c>
      <c r="G293" s="125">
        <f>IF(E293&gt;0,F293/E293*100,0)</f>
        <v>0</v>
      </c>
      <c r="H293" s="192">
        <f t="shared" si="23"/>
        <v>0</v>
      </c>
    </row>
    <row r="294" spans="1:8" ht="14.25" customHeight="1">
      <c r="A294" s="194" t="s">
        <v>30</v>
      </c>
      <c r="B294" s="183"/>
      <c r="C294" s="59">
        <v>412700</v>
      </c>
      <c r="D294" s="102" t="s">
        <v>108</v>
      </c>
      <c r="E294" s="173">
        <v>500</v>
      </c>
      <c r="F294" s="173">
        <v>1400</v>
      </c>
      <c r="G294" s="125">
        <f t="shared" si="22"/>
        <v>280</v>
      </c>
      <c r="H294" s="192">
        <f t="shared" si="23"/>
        <v>0.004154302670623146</v>
      </c>
    </row>
    <row r="295" spans="1:8" ht="13.5" customHeight="1">
      <c r="A295" s="194" t="s">
        <v>30</v>
      </c>
      <c r="B295" s="183"/>
      <c r="C295" s="78">
        <v>412700</v>
      </c>
      <c r="D295" s="75" t="s">
        <v>173</v>
      </c>
      <c r="E295" s="173">
        <v>20000</v>
      </c>
      <c r="F295" s="173">
        <v>22000</v>
      </c>
      <c r="G295" s="125">
        <f t="shared" si="22"/>
        <v>110.00000000000001</v>
      </c>
      <c r="H295" s="192">
        <f t="shared" si="23"/>
        <v>0.06528189910979228</v>
      </c>
    </row>
    <row r="296" spans="1:8" ht="24.75" customHeight="1">
      <c r="A296" s="108" t="s">
        <v>154</v>
      </c>
      <c r="B296" s="109"/>
      <c r="C296" s="78">
        <v>412700</v>
      </c>
      <c r="D296" s="75" t="s">
        <v>423</v>
      </c>
      <c r="E296" s="131">
        <v>2500</v>
      </c>
      <c r="F296" s="131">
        <v>4000</v>
      </c>
      <c r="G296" s="125">
        <f t="shared" si="22"/>
        <v>160</v>
      </c>
      <c r="H296" s="192">
        <f t="shared" si="23"/>
        <v>0.011869436201780416</v>
      </c>
    </row>
    <row r="297" spans="1:8" ht="12.75" customHeight="1">
      <c r="A297" s="106" t="s">
        <v>21</v>
      </c>
      <c r="B297" s="109"/>
      <c r="C297" s="48">
        <v>412900</v>
      </c>
      <c r="D297" s="70" t="s">
        <v>40</v>
      </c>
      <c r="E297" s="125">
        <v>400</v>
      </c>
      <c r="F297" s="125">
        <v>400</v>
      </c>
      <c r="G297" s="125">
        <f t="shared" si="22"/>
        <v>100</v>
      </c>
      <c r="H297" s="192">
        <f t="shared" si="23"/>
        <v>0.0011869436201780415</v>
      </c>
    </row>
    <row r="298" spans="1:8" ht="12.75" customHeight="1">
      <c r="A298" s="106" t="s">
        <v>21</v>
      </c>
      <c r="B298" s="109"/>
      <c r="C298" s="48">
        <v>412900</v>
      </c>
      <c r="D298" s="70" t="s">
        <v>123</v>
      </c>
      <c r="E298" s="125">
        <v>2260</v>
      </c>
      <c r="F298" s="125">
        <v>0</v>
      </c>
      <c r="G298" s="125">
        <f t="shared" si="22"/>
        <v>0</v>
      </c>
      <c r="H298" s="192">
        <f t="shared" si="23"/>
        <v>0</v>
      </c>
    </row>
    <row r="299" spans="1:8" ht="27.75" customHeight="1">
      <c r="A299" s="493"/>
      <c r="B299" s="494"/>
      <c r="C299" s="481" t="s">
        <v>80</v>
      </c>
      <c r="D299" s="481"/>
      <c r="E299" s="144">
        <f>E291</f>
        <v>42160</v>
      </c>
      <c r="F299" s="144">
        <f>F291</f>
        <v>27800</v>
      </c>
      <c r="G299" s="340">
        <f t="shared" si="22"/>
        <v>65.9392789373814</v>
      </c>
      <c r="H299" s="361">
        <f t="shared" si="23"/>
        <v>0.08249258160237388</v>
      </c>
    </row>
    <row r="300" spans="1:8" ht="25.5" customHeight="1">
      <c r="A300" s="146"/>
      <c r="B300" s="147"/>
      <c r="C300" s="479" t="s">
        <v>482</v>
      </c>
      <c r="D300" s="480"/>
      <c r="E300" s="148"/>
      <c r="F300" s="148"/>
      <c r="G300" s="148"/>
      <c r="H300" s="149"/>
    </row>
    <row r="301" spans="1:8" ht="15" customHeight="1">
      <c r="A301" s="154"/>
      <c r="B301" s="155"/>
      <c r="C301" s="480"/>
      <c r="D301" s="480"/>
      <c r="E301" s="156"/>
      <c r="F301" s="156"/>
      <c r="G301" s="156"/>
      <c r="H301" s="157"/>
    </row>
    <row r="302" spans="1:8" ht="12.75">
      <c r="A302" s="106"/>
      <c r="B302" s="35">
        <v>412000</v>
      </c>
      <c r="C302" s="48"/>
      <c r="D302" s="120" t="s">
        <v>114</v>
      </c>
      <c r="E302" s="122">
        <f>SUM(E303:E311)</f>
        <v>415400</v>
      </c>
      <c r="F302" s="122">
        <f>SUM(F303:F311)</f>
        <v>418900</v>
      </c>
      <c r="G302" s="122">
        <f aca="true" t="shared" si="24" ref="G302:G317">IF(E302&gt;0,F302/E302*100,0)</f>
        <v>100.84256138661532</v>
      </c>
      <c r="H302" s="158">
        <f aca="true" t="shared" si="25" ref="H302:H317">F302/$F$608*100</f>
        <v>1.2430267062314542</v>
      </c>
    </row>
    <row r="303" spans="1:8" ht="25.5" customHeight="1">
      <c r="A303" s="106" t="s">
        <v>21</v>
      </c>
      <c r="B303" s="109"/>
      <c r="C303" s="48">
        <v>412200</v>
      </c>
      <c r="D303" s="70" t="s">
        <v>116</v>
      </c>
      <c r="E303" s="131">
        <v>239000</v>
      </c>
      <c r="F303" s="131">
        <v>240000</v>
      </c>
      <c r="G303" s="125">
        <f t="shared" si="24"/>
        <v>100.418410041841</v>
      </c>
      <c r="H303" s="356">
        <f t="shared" si="25"/>
        <v>0.7121661721068249</v>
      </c>
    </row>
    <row r="304" spans="1:8" ht="12.75">
      <c r="A304" s="106" t="s">
        <v>21</v>
      </c>
      <c r="B304" s="109"/>
      <c r="C304" s="48">
        <v>412300</v>
      </c>
      <c r="D304" s="109" t="s">
        <v>117</v>
      </c>
      <c r="E304" s="129">
        <v>54500</v>
      </c>
      <c r="F304" s="129">
        <v>55000</v>
      </c>
      <c r="G304" s="125">
        <f t="shared" si="24"/>
        <v>100.91743119266054</v>
      </c>
      <c r="H304" s="356">
        <f t="shared" si="25"/>
        <v>0.1632047477744807</v>
      </c>
    </row>
    <row r="305" spans="1:8" ht="12.75">
      <c r="A305" s="106" t="s">
        <v>21</v>
      </c>
      <c r="B305" s="109"/>
      <c r="C305" s="48">
        <v>412500</v>
      </c>
      <c r="D305" s="109" t="s">
        <v>19</v>
      </c>
      <c r="E305" s="129">
        <v>35000</v>
      </c>
      <c r="F305" s="129">
        <v>35000</v>
      </c>
      <c r="G305" s="125">
        <f t="shared" si="24"/>
        <v>100</v>
      </c>
      <c r="H305" s="356">
        <f t="shared" si="25"/>
        <v>0.10385756676557863</v>
      </c>
    </row>
    <row r="306" spans="1:8" ht="15.75" customHeight="1">
      <c r="A306" s="106" t="s">
        <v>21</v>
      </c>
      <c r="B306" s="109"/>
      <c r="C306" s="48">
        <v>412600</v>
      </c>
      <c r="D306" s="70" t="s">
        <v>589</v>
      </c>
      <c r="E306" s="129">
        <v>7000</v>
      </c>
      <c r="F306" s="129">
        <v>7000</v>
      </c>
      <c r="G306" s="125">
        <f t="shared" si="24"/>
        <v>100</v>
      </c>
      <c r="H306" s="356">
        <f t="shared" si="25"/>
        <v>0.020771513353115726</v>
      </c>
    </row>
    <row r="307" spans="1:8" ht="12.75">
      <c r="A307" s="106" t="s">
        <v>21</v>
      </c>
      <c r="B307" s="109"/>
      <c r="C307" s="48">
        <v>412700</v>
      </c>
      <c r="D307" s="70" t="s">
        <v>590</v>
      </c>
      <c r="E307" s="131">
        <v>66000</v>
      </c>
      <c r="F307" s="131">
        <v>69000</v>
      </c>
      <c r="G307" s="125">
        <f t="shared" si="24"/>
        <v>104.54545454545455</v>
      </c>
      <c r="H307" s="356">
        <f t="shared" si="25"/>
        <v>0.20474777448071216</v>
      </c>
    </row>
    <row r="308" spans="1:8" ht="12.75">
      <c r="A308" s="106" t="s">
        <v>21</v>
      </c>
      <c r="B308" s="109"/>
      <c r="C308" s="48">
        <v>412900</v>
      </c>
      <c r="D308" s="70" t="s">
        <v>0</v>
      </c>
      <c r="E308" s="129">
        <v>400</v>
      </c>
      <c r="F308" s="129">
        <v>400</v>
      </c>
      <c r="G308" s="125">
        <f t="shared" si="24"/>
        <v>100</v>
      </c>
      <c r="H308" s="356">
        <f t="shared" si="25"/>
        <v>0.0011869436201780415</v>
      </c>
    </row>
    <row r="309" spans="1:8" ht="12.75">
      <c r="A309" s="106" t="s">
        <v>21</v>
      </c>
      <c r="B309" s="109"/>
      <c r="C309" s="48">
        <v>412900</v>
      </c>
      <c r="D309" s="70" t="s">
        <v>591</v>
      </c>
      <c r="E309" s="131">
        <v>3500</v>
      </c>
      <c r="F309" s="131">
        <v>2500</v>
      </c>
      <c r="G309" s="125">
        <f t="shared" si="24"/>
        <v>71.42857142857143</v>
      </c>
      <c r="H309" s="356">
        <f t="shared" si="25"/>
        <v>0.007418397626112759</v>
      </c>
    </row>
    <row r="310" spans="1:8" ht="14.25" customHeight="1">
      <c r="A310" s="106" t="s">
        <v>21</v>
      </c>
      <c r="B310" s="109"/>
      <c r="C310" s="48">
        <v>412900</v>
      </c>
      <c r="D310" s="70" t="s">
        <v>123</v>
      </c>
      <c r="E310" s="131">
        <v>10000</v>
      </c>
      <c r="F310" s="131">
        <v>10000</v>
      </c>
      <c r="G310" s="125">
        <f t="shared" si="24"/>
        <v>100</v>
      </c>
      <c r="H310" s="356">
        <f t="shared" si="25"/>
        <v>0.029673590504451036</v>
      </c>
    </row>
    <row r="311" spans="1:8" ht="13.5" customHeight="1" hidden="1">
      <c r="A311" s="106" t="s">
        <v>21</v>
      </c>
      <c r="B311" s="109"/>
      <c r="C311" s="48">
        <v>412900</v>
      </c>
      <c r="D311" s="70" t="s">
        <v>424</v>
      </c>
      <c r="E311" s="131">
        <v>0</v>
      </c>
      <c r="F311" s="131">
        <v>0</v>
      </c>
      <c r="G311" s="122">
        <f t="shared" si="24"/>
        <v>0</v>
      </c>
      <c r="H311" s="158">
        <f t="shared" si="25"/>
        <v>0</v>
      </c>
    </row>
    <row r="312" spans="1:8" ht="12" customHeight="1">
      <c r="A312" s="106"/>
      <c r="B312" s="35">
        <v>511000</v>
      </c>
      <c r="C312" s="109"/>
      <c r="D312" s="120" t="s">
        <v>130</v>
      </c>
      <c r="E312" s="160">
        <f>SUM(E313:E314)</f>
        <v>98000</v>
      </c>
      <c r="F312" s="122">
        <f>SUM(F313:F314)</f>
        <v>50000</v>
      </c>
      <c r="G312" s="122">
        <f t="shared" si="24"/>
        <v>51.02040816326531</v>
      </c>
      <c r="H312" s="158">
        <f t="shared" si="25"/>
        <v>0.1483679525222552</v>
      </c>
    </row>
    <row r="313" spans="1:8" ht="0.75" customHeight="1" hidden="1">
      <c r="A313" s="106" t="s">
        <v>21</v>
      </c>
      <c r="B313" s="109"/>
      <c r="C313" s="183">
        <v>511200</v>
      </c>
      <c r="D313" s="102" t="s">
        <v>139</v>
      </c>
      <c r="E313" s="129">
        <v>0</v>
      </c>
      <c r="F313" s="129">
        <v>0</v>
      </c>
      <c r="G313" s="122">
        <f t="shared" si="24"/>
        <v>0</v>
      </c>
      <c r="H313" s="158">
        <f t="shared" si="25"/>
        <v>0</v>
      </c>
    </row>
    <row r="314" spans="1:8" ht="14.25" customHeight="1">
      <c r="A314" s="106" t="s">
        <v>21</v>
      </c>
      <c r="B314" s="109"/>
      <c r="C314" s="109">
        <v>511300</v>
      </c>
      <c r="D314" s="109" t="s">
        <v>2</v>
      </c>
      <c r="E314" s="131">
        <v>98000</v>
      </c>
      <c r="F314" s="131">
        <v>50000</v>
      </c>
      <c r="G314" s="125">
        <f t="shared" si="24"/>
        <v>51.02040816326531</v>
      </c>
      <c r="H314" s="356">
        <f t="shared" si="25"/>
        <v>0.1483679525222552</v>
      </c>
    </row>
    <row r="315" spans="1:8" ht="16.5" customHeight="1">
      <c r="A315" s="106"/>
      <c r="B315" s="35">
        <v>516000</v>
      </c>
      <c r="C315" s="109"/>
      <c r="D315" s="120" t="s">
        <v>268</v>
      </c>
      <c r="E315" s="160">
        <f>SUM(E316)</f>
        <v>10000</v>
      </c>
      <c r="F315" s="122">
        <f>SUM(F316)</f>
        <v>10000</v>
      </c>
      <c r="G315" s="122">
        <f t="shared" si="24"/>
        <v>100</v>
      </c>
      <c r="H315" s="158">
        <f t="shared" si="25"/>
        <v>0.029673590504451036</v>
      </c>
    </row>
    <row r="316" spans="1:8" ht="12.75">
      <c r="A316" s="106" t="s">
        <v>21</v>
      </c>
      <c r="B316" s="109"/>
      <c r="C316" s="109">
        <v>516100</v>
      </c>
      <c r="D316" s="70" t="s">
        <v>224</v>
      </c>
      <c r="E316" s="131">
        <v>10000</v>
      </c>
      <c r="F316" s="131">
        <v>10000</v>
      </c>
      <c r="G316" s="125">
        <f t="shared" si="24"/>
        <v>100</v>
      </c>
      <c r="H316" s="356">
        <f t="shared" si="25"/>
        <v>0.029673590504451036</v>
      </c>
    </row>
    <row r="317" spans="1:8" ht="25.5" customHeight="1">
      <c r="A317" s="493"/>
      <c r="B317" s="494"/>
      <c r="C317" s="481" t="s">
        <v>82</v>
      </c>
      <c r="D317" s="482"/>
      <c r="E317" s="144">
        <f>E302+E312+E315</f>
        <v>523400</v>
      </c>
      <c r="F317" s="397">
        <f>F302+F312+F315</f>
        <v>478900</v>
      </c>
      <c r="G317" s="340">
        <f t="shared" si="24"/>
        <v>91.49789835689721</v>
      </c>
      <c r="H317" s="320">
        <f t="shared" si="25"/>
        <v>1.4210682492581603</v>
      </c>
    </row>
    <row r="318" spans="1:8" ht="12.75">
      <c r="A318" s="150"/>
      <c r="B318" s="151"/>
      <c r="C318" s="485" t="s">
        <v>481</v>
      </c>
      <c r="D318" s="486"/>
      <c r="E318" s="152"/>
      <c r="F318" s="152"/>
      <c r="G318" s="152"/>
      <c r="H318" s="153"/>
    </row>
    <row r="319" spans="1:8" ht="12.75">
      <c r="A319" s="150"/>
      <c r="B319" s="151"/>
      <c r="C319" s="486"/>
      <c r="D319" s="486"/>
      <c r="E319" s="152"/>
      <c r="F319" s="152"/>
      <c r="G319" s="152"/>
      <c r="H319" s="153"/>
    </row>
    <row r="320" spans="1:8" ht="17.25" customHeight="1">
      <c r="A320" s="154"/>
      <c r="B320" s="155"/>
      <c r="C320" s="486"/>
      <c r="D320" s="486"/>
      <c r="E320" s="156"/>
      <c r="F320" s="156"/>
      <c r="G320" s="156"/>
      <c r="H320" s="157"/>
    </row>
    <row r="321" spans="1:8" ht="12.75">
      <c r="A321" s="199"/>
      <c r="B321" s="167" t="s">
        <v>328</v>
      </c>
      <c r="C321" s="72"/>
      <c r="D321" s="42" t="s">
        <v>114</v>
      </c>
      <c r="E321" s="200">
        <f>SUM(E322:E324)</f>
        <v>56400</v>
      </c>
      <c r="F321" s="200">
        <f>SUM(F322:F324)</f>
        <v>41400</v>
      </c>
      <c r="G321" s="201">
        <f aca="true" t="shared" si="26" ref="G321:G329">IF(E321&gt;0,F321/E321*100,0)</f>
        <v>73.40425531914893</v>
      </c>
      <c r="H321" s="202">
        <f aca="true" t="shared" si="27" ref="H321:H329">F321/$F$608*100</f>
        <v>0.1228486646884273</v>
      </c>
    </row>
    <row r="322" spans="1:8" ht="12.75">
      <c r="A322" s="106" t="s">
        <v>21</v>
      </c>
      <c r="B322" s="167"/>
      <c r="C322" s="78">
        <v>412700</v>
      </c>
      <c r="D322" s="49" t="s">
        <v>121</v>
      </c>
      <c r="E322" s="204">
        <v>55000</v>
      </c>
      <c r="F322" s="204">
        <v>40000</v>
      </c>
      <c r="G322" s="170">
        <f t="shared" si="26"/>
        <v>72.72727272727273</v>
      </c>
      <c r="H322" s="357">
        <f t="shared" si="27"/>
        <v>0.11869436201780414</v>
      </c>
    </row>
    <row r="323" spans="1:8" ht="25.5">
      <c r="A323" s="106" t="s">
        <v>21</v>
      </c>
      <c r="B323" s="167"/>
      <c r="C323" s="78">
        <v>412900</v>
      </c>
      <c r="D323" s="57" t="s">
        <v>400</v>
      </c>
      <c r="E323" s="203">
        <v>1000</v>
      </c>
      <c r="F323" s="203">
        <v>1000</v>
      </c>
      <c r="G323" s="170">
        <f t="shared" si="26"/>
        <v>100</v>
      </c>
      <c r="H323" s="357">
        <f t="shared" si="27"/>
        <v>0.002967359050445104</v>
      </c>
    </row>
    <row r="324" spans="1:8" ht="12.75">
      <c r="A324" s="226" t="s">
        <v>21</v>
      </c>
      <c r="B324" s="109"/>
      <c r="C324" s="48">
        <v>412900</v>
      </c>
      <c r="D324" s="70" t="s">
        <v>0</v>
      </c>
      <c r="E324" s="129">
        <v>400</v>
      </c>
      <c r="F324" s="129">
        <v>400</v>
      </c>
      <c r="G324" s="125">
        <f t="shared" si="26"/>
        <v>100</v>
      </c>
      <c r="H324" s="356">
        <f t="shared" si="27"/>
        <v>0.0011869436201780415</v>
      </c>
    </row>
    <row r="325" spans="1:8" ht="12.75">
      <c r="A325" s="106"/>
      <c r="B325" s="167" t="s">
        <v>337</v>
      </c>
      <c r="C325" s="67"/>
      <c r="D325" s="42" t="s">
        <v>281</v>
      </c>
      <c r="E325" s="200">
        <f>SUM(E326:E326)</f>
        <v>150000</v>
      </c>
      <c r="F325" s="200">
        <f>SUM(F326:F326)</f>
        <v>160000</v>
      </c>
      <c r="G325" s="201">
        <f t="shared" si="26"/>
        <v>106.66666666666667</v>
      </c>
      <c r="H325" s="202">
        <f t="shared" si="27"/>
        <v>0.4747774480712166</v>
      </c>
    </row>
    <row r="326" spans="1:8" ht="15.75" customHeight="1">
      <c r="A326" s="106" t="s">
        <v>21</v>
      </c>
      <c r="B326" s="167"/>
      <c r="C326" s="78">
        <v>419100</v>
      </c>
      <c r="D326" s="57" t="s">
        <v>339</v>
      </c>
      <c r="E326" s="294">
        <v>150000</v>
      </c>
      <c r="F326" s="443">
        <v>160000</v>
      </c>
      <c r="G326" s="170">
        <f t="shared" si="26"/>
        <v>106.66666666666667</v>
      </c>
      <c r="H326" s="357">
        <f t="shared" si="27"/>
        <v>0.4747774480712166</v>
      </c>
    </row>
    <row r="327" spans="1:8" ht="12.75">
      <c r="A327" s="106"/>
      <c r="B327" s="167" t="s">
        <v>338</v>
      </c>
      <c r="C327" s="67"/>
      <c r="D327" s="42" t="s">
        <v>156</v>
      </c>
      <c r="E327" s="200">
        <f>SUM(E328)</f>
        <v>120653.48</v>
      </c>
      <c r="F327" s="200">
        <f>SUM(F328)</f>
        <v>150000</v>
      </c>
      <c r="G327" s="201">
        <f t="shared" si="26"/>
        <v>124.3229785000814</v>
      </c>
      <c r="H327" s="202">
        <f t="shared" si="27"/>
        <v>0.44510385756676557</v>
      </c>
    </row>
    <row r="328" spans="1:8" ht="15.75" customHeight="1">
      <c r="A328" s="106" t="s">
        <v>21</v>
      </c>
      <c r="B328" s="205"/>
      <c r="C328" s="295">
        <v>513100</v>
      </c>
      <c r="D328" s="143" t="s">
        <v>214</v>
      </c>
      <c r="E328" s="50">
        <v>120653.48</v>
      </c>
      <c r="F328" s="50">
        <v>150000</v>
      </c>
      <c r="G328" s="170">
        <f t="shared" si="26"/>
        <v>124.3229785000814</v>
      </c>
      <c r="H328" s="357">
        <f t="shared" si="27"/>
        <v>0.44510385756676557</v>
      </c>
    </row>
    <row r="329" spans="1:8" ht="25.5" customHeight="1">
      <c r="A329" s="106"/>
      <c r="B329" s="205"/>
      <c r="C329" s="481" t="s">
        <v>371</v>
      </c>
      <c r="D329" s="481"/>
      <c r="E329" s="207">
        <f>E321+E326+E327</f>
        <v>327053.48</v>
      </c>
      <c r="F329" s="207">
        <f>F321+F326+F327</f>
        <v>351400</v>
      </c>
      <c r="G329" s="318">
        <f t="shared" si="26"/>
        <v>107.44420148044289</v>
      </c>
      <c r="H329" s="363">
        <f t="shared" si="27"/>
        <v>1.0427299703264095</v>
      </c>
    </row>
    <row r="330" spans="1:8" ht="9.75" customHeight="1">
      <c r="A330" s="505"/>
      <c r="B330" s="506"/>
      <c r="C330" s="479" t="s">
        <v>480</v>
      </c>
      <c r="D330" s="480"/>
      <c r="E330" s="174"/>
      <c r="F330" s="174"/>
      <c r="G330" s="174"/>
      <c r="H330" s="175"/>
    </row>
    <row r="331" spans="1:8" ht="9.75" customHeight="1">
      <c r="A331" s="505"/>
      <c r="B331" s="506"/>
      <c r="C331" s="480"/>
      <c r="D331" s="480"/>
      <c r="E331" s="176"/>
      <c r="F331" s="176"/>
      <c r="G331" s="176"/>
      <c r="H331" s="177"/>
    </row>
    <row r="332" spans="1:8" ht="26.25" customHeight="1">
      <c r="A332" s="505"/>
      <c r="B332" s="506"/>
      <c r="C332" s="480"/>
      <c r="D332" s="480"/>
      <c r="E332" s="178"/>
      <c r="F332" s="178"/>
      <c r="G332" s="178"/>
      <c r="H332" s="179"/>
    </row>
    <row r="333" spans="1:8" ht="14.25" customHeight="1">
      <c r="A333" s="106"/>
      <c r="B333" s="35">
        <v>412000</v>
      </c>
      <c r="C333" s="48"/>
      <c r="D333" s="120" t="s">
        <v>114</v>
      </c>
      <c r="E333" s="122">
        <f>SUM(E334:E336)</f>
        <v>40900</v>
      </c>
      <c r="F333" s="122">
        <f>SUM(F334:F336)</f>
        <v>42900</v>
      </c>
      <c r="G333" s="122">
        <f aca="true" t="shared" si="28" ref="G333:G350">IF(E333&gt;0,F333/E333*100,0)</f>
        <v>104.88997555012224</v>
      </c>
      <c r="H333" s="158">
        <f aca="true" t="shared" si="29" ref="H333:H350">F333/$F$608*100</f>
        <v>0.12729970326409495</v>
      </c>
    </row>
    <row r="334" spans="1:8" ht="12.75">
      <c r="A334" s="108" t="s">
        <v>42</v>
      </c>
      <c r="B334" s="109"/>
      <c r="C334" s="78">
        <v>412700</v>
      </c>
      <c r="D334" s="109" t="s">
        <v>41</v>
      </c>
      <c r="E334" s="131">
        <v>1500</v>
      </c>
      <c r="F334" s="131">
        <v>3500</v>
      </c>
      <c r="G334" s="125">
        <f t="shared" si="28"/>
        <v>233.33333333333334</v>
      </c>
      <c r="H334" s="356">
        <f t="shared" si="29"/>
        <v>0.010385756676557863</v>
      </c>
    </row>
    <row r="335" spans="1:8" ht="12.75">
      <c r="A335" s="106" t="s">
        <v>42</v>
      </c>
      <c r="B335" s="109"/>
      <c r="C335" s="78">
        <v>412700</v>
      </c>
      <c r="D335" s="70" t="s">
        <v>97</v>
      </c>
      <c r="E335" s="129">
        <v>39000</v>
      </c>
      <c r="F335" s="125">
        <v>39000</v>
      </c>
      <c r="G335" s="125">
        <f t="shared" si="28"/>
        <v>100</v>
      </c>
      <c r="H335" s="356">
        <f t="shared" si="29"/>
        <v>0.11572700296735906</v>
      </c>
    </row>
    <row r="336" spans="1:8" ht="12.75">
      <c r="A336" s="106" t="s">
        <v>21</v>
      </c>
      <c r="B336" s="109"/>
      <c r="C336" s="48">
        <v>412900</v>
      </c>
      <c r="D336" s="180" t="s">
        <v>0</v>
      </c>
      <c r="E336" s="129">
        <v>400</v>
      </c>
      <c r="F336" s="129">
        <v>400</v>
      </c>
      <c r="G336" s="125">
        <f t="shared" si="28"/>
        <v>100</v>
      </c>
      <c r="H336" s="356">
        <f t="shared" si="29"/>
        <v>0.0011869436201780415</v>
      </c>
    </row>
    <row r="337" spans="1:8" ht="14.25" customHeight="1">
      <c r="A337" s="106"/>
      <c r="B337" s="35">
        <v>414000</v>
      </c>
      <c r="C337" s="78"/>
      <c r="D337" s="208" t="s">
        <v>165</v>
      </c>
      <c r="E337" s="160">
        <f>SUM(E338:E338)</f>
        <v>550000</v>
      </c>
      <c r="F337" s="122">
        <f>SUM(F338:F338)</f>
        <v>550000</v>
      </c>
      <c r="G337" s="122">
        <f t="shared" si="28"/>
        <v>100</v>
      </c>
      <c r="H337" s="158">
        <f t="shared" si="29"/>
        <v>1.6320474777448073</v>
      </c>
    </row>
    <row r="338" spans="1:8" ht="11.25" customHeight="1">
      <c r="A338" s="106" t="s">
        <v>42</v>
      </c>
      <c r="B338" s="109"/>
      <c r="C338" s="78">
        <v>414100</v>
      </c>
      <c r="D338" s="143" t="s">
        <v>166</v>
      </c>
      <c r="E338" s="131">
        <v>550000</v>
      </c>
      <c r="F338" s="173">
        <v>550000</v>
      </c>
      <c r="G338" s="125">
        <f t="shared" si="28"/>
        <v>100</v>
      </c>
      <c r="H338" s="356">
        <f t="shared" si="29"/>
        <v>1.6320474777448073</v>
      </c>
    </row>
    <row r="339" spans="1:8" ht="14.25" customHeight="1">
      <c r="A339" s="106"/>
      <c r="B339" s="35">
        <v>416000</v>
      </c>
      <c r="C339" s="78"/>
      <c r="D339" s="120" t="s">
        <v>1</v>
      </c>
      <c r="E339" s="209">
        <f>SUM(E340:E340)</f>
        <v>5000</v>
      </c>
      <c r="F339" s="399">
        <f>SUM(F340:F340)</f>
        <v>5000</v>
      </c>
      <c r="G339" s="122">
        <f t="shared" si="28"/>
        <v>100</v>
      </c>
      <c r="H339" s="158">
        <f t="shared" si="29"/>
        <v>0.014836795252225518</v>
      </c>
    </row>
    <row r="340" spans="1:8" ht="12.75">
      <c r="A340" s="106" t="s">
        <v>42</v>
      </c>
      <c r="B340" s="109"/>
      <c r="C340" s="59">
        <v>416100</v>
      </c>
      <c r="D340" s="70" t="s">
        <v>169</v>
      </c>
      <c r="E340" s="131">
        <v>5000</v>
      </c>
      <c r="F340" s="131">
        <v>5000</v>
      </c>
      <c r="G340" s="125">
        <f t="shared" si="28"/>
        <v>100</v>
      </c>
      <c r="H340" s="356">
        <f t="shared" si="29"/>
        <v>0.014836795252225518</v>
      </c>
    </row>
    <row r="341" spans="1:8" ht="25.5">
      <c r="A341" s="106"/>
      <c r="B341" s="109"/>
      <c r="C341" s="59"/>
      <c r="D341" s="120" t="s">
        <v>275</v>
      </c>
      <c r="E341" s="210">
        <f>SUM(E342:E343)</f>
        <v>245000</v>
      </c>
      <c r="F341" s="122">
        <f>SUM(F342:F343)</f>
        <v>293000</v>
      </c>
      <c r="G341" s="122">
        <f t="shared" si="28"/>
        <v>119.59183673469387</v>
      </c>
      <c r="H341" s="158">
        <f t="shared" si="29"/>
        <v>0.8694362017804155</v>
      </c>
    </row>
    <row r="342" spans="1:8" ht="14.25" customHeight="1">
      <c r="A342" s="106" t="s">
        <v>36</v>
      </c>
      <c r="B342" s="109"/>
      <c r="C342" s="59">
        <v>412500</v>
      </c>
      <c r="D342" s="70" t="s">
        <v>598</v>
      </c>
      <c r="E342" s="129">
        <v>45000</v>
      </c>
      <c r="F342" s="129">
        <v>60000</v>
      </c>
      <c r="G342" s="125">
        <f t="shared" si="28"/>
        <v>133.33333333333331</v>
      </c>
      <c r="H342" s="356">
        <f t="shared" si="29"/>
        <v>0.17804154302670622</v>
      </c>
    </row>
    <row r="343" spans="1:8" ht="25.5">
      <c r="A343" s="106" t="s">
        <v>36</v>
      </c>
      <c r="B343" s="109"/>
      <c r="C343" s="59">
        <v>511200</v>
      </c>
      <c r="D343" s="70" t="s">
        <v>599</v>
      </c>
      <c r="E343" s="129">
        <v>200000</v>
      </c>
      <c r="F343" s="129">
        <v>233000</v>
      </c>
      <c r="G343" s="125">
        <f t="shared" si="28"/>
        <v>116.5</v>
      </c>
      <c r="H343" s="356">
        <f t="shared" si="29"/>
        <v>0.6913946587537092</v>
      </c>
    </row>
    <row r="344" spans="1:8" ht="26.25" customHeight="1">
      <c r="A344" s="106"/>
      <c r="B344" s="109"/>
      <c r="C344" s="67"/>
      <c r="D344" s="120" t="s">
        <v>106</v>
      </c>
      <c r="E344" s="160">
        <f>SUM(E345:E349)</f>
        <v>185000</v>
      </c>
      <c r="F344" s="122">
        <f>SUM(F345:F349)</f>
        <v>277000</v>
      </c>
      <c r="G344" s="122">
        <f t="shared" si="28"/>
        <v>149.72972972972974</v>
      </c>
      <c r="H344" s="158">
        <f t="shared" si="29"/>
        <v>0.8219584569732938</v>
      </c>
    </row>
    <row r="345" spans="1:8" ht="14.25" customHeight="1">
      <c r="A345" s="108" t="s">
        <v>153</v>
      </c>
      <c r="B345" s="109"/>
      <c r="C345" s="78">
        <v>412700</v>
      </c>
      <c r="D345" s="70" t="s">
        <v>107</v>
      </c>
      <c r="E345" s="131">
        <v>8000</v>
      </c>
      <c r="F345" s="131">
        <v>7000</v>
      </c>
      <c r="G345" s="125">
        <f t="shared" si="28"/>
        <v>87.5</v>
      </c>
      <c r="H345" s="356">
        <f t="shared" si="29"/>
        <v>0.020771513353115726</v>
      </c>
    </row>
    <row r="346" spans="1:8" ht="12" customHeight="1">
      <c r="A346" s="108" t="s">
        <v>42</v>
      </c>
      <c r="B346" s="109"/>
      <c r="C346" s="59">
        <v>412800</v>
      </c>
      <c r="D346" s="70" t="s">
        <v>249</v>
      </c>
      <c r="E346" s="131">
        <v>10000</v>
      </c>
      <c r="F346" s="131">
        <v>35000</v>
      </c>
      <c r="G346" s="125">
        <f t="shared" si="28"/>
        <v>350</v>
      </c>
      <c r="H346" s="356">
        <f t="shared" si="29"/>
        <v>0.10385756676557863</v>
      </c>
    </row>
    <row r="347" spans="1:8" ht="12.75" hidden="1">
      <c r="A347" s="108" t="s">
        <v>151</v>
      </c>
      <c r="B347" s="109"/>
      <c r="C347" s="59">
        <v>415200</v>
      </c>
      <c r="D347" s="75" t="s">
        <v>356</v>
      </c>
      <c r="E347" s="131"/>
      <c r="F347" s="131"/>
      <c r="G347" s="125">
        <f t="shared" si="28"/>
        <v>0</v>
      </c>
      <c r="H347" s="356">
        <f t="shared" si="29"/>
        <v>0</v>
      </c>
    </row>
    <row r="348" spans="1:8" ht="12.75">
      <c r="A348" s="211" t="s">
        <v>151</v>
      </c>
      <c r="B348" s="109"/>
      <c r="C348" s="59">
        <v>415200</v>
      </c>
      <c r="D348" s="102" t="s">
        <v>405</v>
      </c>
      <c r="E348" s="131">
        <v>25000</v>
      </c>
      <c r="F348" s="131">
        <v>25000</v>
      </c>
      <c r="G348" s="125">
        <f t="shared" si="28"/>
        <v>100</v>
      </c>
      <c r="H348" s="356">
        <f t="shared" si="29"/>
        <v>0.0741839762611276</v>
      </c>
    </row>
    <row r="349" spans="1:8" ht="25.5" customHeight="1">
      <c r="A349" s="108" t="s">
        <v>151</v>
      </c>
      <c r="B349" s="109"/>
      <c r="C349" s="59">
        <v>511200</v>
      </c>
      <c r="D349" s="102" t="s">
        <v>613</v>
      </c>
      <c r="E349" s="131">
        <v>142000</v>
      </c>
      <c r="F349" s="131">
        <v>210000</v>
      </c>
      <c r="G349" s="125">
        <f t="shared" si="28"/>
        <v>147.88732394366198</v>
      </c>
      <c r="H349" s="356">
        <f t="shared" si="29"/>
        <v>0.6231454005934718</v>
      </c>
    </row>
    <row r="350" spans="1:8" ht="24.75" customHeight="1">
      <c r="A350" s="493"/>
      <c r="B350" s="494"/>
      <c r="C350" s="481" t="s">
        <v>81</v>
      </c>
      <c r="D350" s="481"/>
      <c r="E350" s="144">
        <f>E333+E337+E339+E341+E344</f>
        <v>1025900</v>
      </c>
      <c r="F350" s="397">
        <f>F333+F337+F339+F341+F344</f>
        <v>1167900</v>
      </c>
      <c r="G350" s="340">
        <f t="shared" si="28"/>
        <v>113.84150501998245</v>
      </c>
      <c r="H350" s="320">
        <f t="shared" si="29"/>
        <v>3.465578635014837</v>
      </c>
    </row>
    <row r="351" spans="1:8" ht="12.75">
      <c r="A351" s="505"/>
      <c r="B351" s="506"/>
      <c r="C351" s="479" t="s">
        <v>479</v>
      </c>
      <c r="D351" s="480"/>
      <c r="E351" s="174"/>
      <c r="F351" s="174"/>
      <c r="G351" s="174"/>
      <c r="H351" s="175"/>
    </row>
    <row r="352" spans="1:8" ht="12.75">
      <c r="A352" s="505"/>
      <c r="B352" s="506"/>
      <c r="C352" s="480"/>
      <c r="D352" s="480"/>
      <c r="E352" s="176"/>
      <c r="F352" s="176"/>
      <c r="G352" s="176"/>
      <c r="H352" s="177"/>
    </row>
    <row r="353" spans="1:8" ht="17.25" customHeight="1">
      <c r="A353" s="505"/>
      <c r="B353" s="506"/>
      <c r="C353" s="480"/>
      <c r="D353" s="480"/>
      <c r="E353" s="178"/>
      <c r="F353" s="178"/>
      <c r="G353" s="178"/>
      <c r="H353" s="179"/>
    </row>
    <row r="354" spans="1:8" ht="14.25" customHeight="1">
      <c r="A354" s="106"/>
      <c r="B354" s="35">
        <v>411000</v>
      </c>
      <c r="C354" s="60"/>
      <c r="D354" s="53" t="s">
        <v>297</v>
      </c>
      <c r="E354" s="121">
        <f>SUM(E355:E358)</f>
        <v>403100</v>
      </c>
      <c r="F354" s="122">
        <f>SUM(F355:F358)</f>
        <v>463000</v>
      </c>
      <c r="G354" s="122">
        <f aca="true" t="shared" si="30" ref="G354:G398">IF(E354&gt;0,F354/E354*100,0)</f>
        <v>114.8598362689159</v>
      </c>
      <c r="H354" s="158">
        <f aca="true" t="shared" si="31" ref="H354:H398">F354/$F$608*100</f>
        <v>1.3738872403560831</v>
      </c>
    </row>
    <row r="355" spans="1:8" ht="12.75" customHeight="1">
      <c r="A355" s="106">
        <v>1090</v>
      </c>
      <c r="B355" s="109"/>
      <c r="C355" s="48">
        <v>411100</v>
      </c>
      <c r="D355" s="54" t="s">
        <v>293</v>
      </c>
      <c r="E355" s="125">
        <v>300000</v>
      </c>
      <c r="F355" s="125">
        <v>343000</v>
      </c>
      <c r="G355" s="125">
        <f t="shared" si="30"/>
        <v>114.33333333333333</v>
      </c>
      <c r="H355" s="356">
        <f t="shared" si="31"/>
        <v>1.0178041543026706</v>
      </c>
    </row>
    <row r="356" spans="1:8" ht="25.5">
      <c r="A356" s="106">
        <v>1090</v>
      </c>
      <c r="B356" s="109"/>
      <c r="C356" s="48">
        <v>411200</v>
      </c>
      <c r="D356" s="54" t="s">
        <v>298</v>
      </c>
      <c r="E356" s="129">
        <v>85000</v>
      </c>
      <c r="F356" s="129">
        <v>107000</v>
      </c>
      <c r="G356" s="125">
        <f t="shared" si="30"/>
        <v>125.88235294117646</v>
      </c>
      <c r="H356" s="356">
        <f t="shared" si="31"/>
        <v>0.31750741839762614</v>
      </c>
    </row>
    <row r="357" spans="1:8" ht="25.5">
      <c r="A357" s="106">
        <v>1090</v>
      </c>
      <c r="B357" s="109"/>
      <c r="C357" s="48">
        <v>411300</v>
      </c>
      <c r="D357" s="54" t="s">
        <v>373</v>
      </c>
      <c r="E357" s="129">
        <v>14000</v>
      </c>
      <c r="F357" s="129">
        <v>8000</v>
      </c>
      <c r="G357" s="125">
        <f t="shared" si="30"/>
        <v>57.14285714285714</v>
      </c>
      <c r="H357" s="356">
        <f t="shared" si="31"/>
        <v>0.02373887240356083</v>
      </c>
    </row>
    <row r="358" spans="1:8" ht="12.75" customHeight="1">
      <c r="A358" s="106">
        <v>1090</v>
      </c>
      <c r="B358" s="109"/>
      <c r="C358" s="48">
        <v>411400</v>
      </c>
      <c r="D358" s="55" t="s">
        <v>294</v>
      </c>
      <c r="E358" s="131">
        <v>4100</v>
      </c>
      <c r="F358" s="131">
        <v>5000</v>
      </c>
      <c r="G358" s="125">
        <f t="shared" si="30"/>
        <v>121.95121951219512</v>
      </c>
      <c r="H358" s="356">
        <f t="shared" si="31"/>
        <v>0.014836795252225518</v>
      </c>
    </row>
    <row r="359" spans="1:8" ht="14.25" customHeight="1">
      <c r="A359" s="106"/>
      <c r="B359" s="35">
        <v>412000</v>
      </c>
      <c r="C359" s="48"/>
      <c r="D359" s="120" t="s">
        <v>114</v>
      </c>
      <c r="E359" s="160">
        <f>SUM(E361:E369)</f>
        <v>157920</v>
      </c>
      <c r="F359" s="122">
        <f>SUM(F360:F369)</f>
        <v>151700</v>
      </c>
      <c r="G359" s="122">
        <f t="shared" si="30"/>
        <v>96.0612968591692</v>
      </c>
      <c r="H359" s="158">
        <f t="shared" si="31"/>
        <v>0.4501483679525222</v>
      </c>
    </row>
    <row r="360" spans="1:8" ht="14.25" customHeight="1">
      <c r="A360" s="106" t="s">
        <v>26</v>
      </c>
      <c r="B360" s="35"/>
      <c r="C360" s="48">
        <v>412100</v>
      </c>
      <c r="D360" s="70" t="s">
        <v>115</v>
      </c>
      <c r="E360" s="131">
        <v>0</v>
      </c>
      <c r="F360" s="131">
        <v>1800</v>
      </c>
      <c r="G360" s="125">
        <f>IF(E360&gt;0,F360/E360*100,0)</f>
        <v>0</v>
      </c>
      <c r="H360" s="356">
        <f t="shared" si="31"/>
        <v>0.005341246290801187</v>
      </c>
    </row>
    <row r="361" spans="1:8" ht="26.25" customHeight="1">
      <c r="A361" s="106">
        <v>1090</v>
      </c>
      <c r="B361" s="109"/>
      <c r="C361" s="48">
        <v>412200</v>
      </c>
      <c r="D361" s="70" t="s">
        <v>116</v>
      </c>
      <c r="E361" s="131">
        <v>78200</v>
      </c>
      <c r="F361" s="131">
        <v>76000</v>
      </c>
      <c r="G361" s="125">
        <f>IF(E361&gt;0,F361/E361*100,0)</f>
        <v>97.18670076726342</v>
      </c>
      <c r="H361" s="356">
        <f t="shared" si="31"/>
        <v>0.22551928783382788</v>
      </c>
    </row>
    <row r="362" spans="1:8" ht="12.75" customHeight="1">
      <c r="A362" s="106">
        <v>1090</v>
      </c>
      <c r="B362" s="109"/>
      <c r="C362" s="48">
        <v>412300</v>
      </c>
      <c r="D362" s="109" t="s">
        <v>117</v>
      </c>
      <c r="E362" s="131">
        <v>5500</v>
      </c>
      <c r="F362" s="131">
        <v>5800</v>
      </c>
      <c r="G362" s="125">
        <f t="shared" si="30"/>
        <v>105.45454545454544</v>
      </c>
      <c r="H362" s="356">
        <f t="shared" si="31"/>
        <v>0.017210682492581602</v>
      </c>
    </row>
    <row r="363" spans="1:8" ht="12.75" customHeight="1">
      <c r="A363" s="106">
        <v>1090</v>
      </c>
      <c r="B363" s="109"/>
      <c r="C363" s="48">
        <v>412500</v>
      </c>
      <c r="D363" s="109" t="s">
        <v>119</v>
      </c>
      <c r="E363" s="131">
        <v>3000</v>
      </c>
      <c r="F363" s="131">
        <v>3500</v>
      </c>
      <c r="G363" s="125">
        <f t="shared" si="30"/>
        <v>116.66666666666667</v>
      </c>
      <c r="H363" s="356">
        <f t="shared" si="31"/>
        <v>0.010385756676557863</v>
      </c>
    </row>
    <row r="364" spans="1:8" ht="12.75" customHeight="1">
      <c r="A364" s="106">
        <v>1090</v>
      </c>
      <c r="B364" s="109"/>
      <c r="C364" s="48">
        <v>412600</v>
      </c>
      <c r="D364" s="180" t="s">
        <v>120</v>
      </c>
      <c r="E364" s="131">
        <v>400</v>
      </c>
      <c r="F364" s="131">
        <v>600</v>
      </c>
      <c r="G364" s="125">
        <f t="shared" si="30"/>
        <v>150</v>
      </c>
      <c r="H364" s="356">
        <f t="shared" si="31"/>
        <v>0.0017804154302670625</v>
      </c>
    </row>
    <row r="365" spans="1:8" ht="12.75" customHeight="1">
      <c r="A365" s="106" t="s">
        <v>26</v>
      </c>
      <c r="B365" s="109"/>
      <c r="C365" s="109">
        <v>412700</v>
      </c>
      <c r="D365" s="109" t="s">
        <v>121</v>
      </c>
      <c r="E365" s="131">
        <v>2500</v>
      </c>
      <c r="F365" s="131">
        <v>4000</v>
      </c>
      <c r="G365" s="125">
        <f t="shared" si="30"/>
        <v>160</v>
      </c>
      <c r="H365" s="356">
        <f t="shared" si="31"/>
        <v>0.011869436201780416</v>
      </c>
    </row>
    <row r="366" spans="1:8" ht="12.75" customHeight="1">
      <c r="A366" s="106" t="s">
        <v>26</v>
      </c>
      <c r="B366" s="109"/>
      <c r="C366" s="109">
        <v>412900</v>
      </c>
      <c r="D366" s="109" t="s">
        <v>431</v>
      </c>
      <c r="E366" s="131">
        <v>47000</v>
      </c>
      <c r="F366" s="131">
        <v>48000</v>
      </c>
      <c r="G366" s="125">
        <f t="shared" si="30"/>
        <v>102.12765957446808</v>
      </c>
      <c r="H366" s="356">
        <f t="shared" si="31"/>
        <v>0.142433234421365</v>
      </c>
    </row>
    <row r="367" spans="1:8" ht="12.75" customHeight="1">
      <c r="A367" s="106" t="s">
        <v>26</v>
      </c>
      <c r="B367" s="109"/>
      <c r="C367" s="109">
        <v>412900</v>
      </c>
      <c r="D367" s="109" t="s">
        <v>123</v>
      </c>
      <c r="E367" s="131">
        <v>1800</v>
      </c>
      <c r="F367" s="131">
        <v>2000</v>
      </c>
      <c r="G367" s="125">
        <f t="shared" si="30"/>
        <v>111.11111111111111</v>
      </c>
      <c r="H367" s="356">
        <f t="shared" si="31"/>
        <v>0.005934718100890208</v>
      </c>
    </row>
    <row r="368" spans="1:8" ht="12.75" customHeight="1">
      <c r="A368" s="106" t="s">
        <v>26</v>
      </c>
      <c r="B368" s="109"/>
      <c r="C368" s="109">
        <v>412900</v>
      </c>
      <c r="D368" s="109" t="s">
        <v>666</v>
      </c>
      <c r="E368" s="131">
        <v>9520</v>
      </c>
      <c r="F368" s="131">
        <v>0</v>
      </c>
      <c r="G368" s="125">
        <f>IF(E368&gt;0,F368/E368*100,0)</f>
        <v>0</v>
      </c>
      <c r="H368" s="356">
        <f t="shared" si="31"/>
        <v>0</v>
      </c>
    </row>
    <row r="369" spans="1:8" ht="12.75" customHeight="1">
      <c r="A369" s="106" t="s">
        <v>26</v>
      </c>
      <c r="B369" s="109"/>
      <c r="C369" s="109">
        <v>412900</v>
      </c>
      <c r="D369" s="109" t="s">
        <v>381</v>
      </c>
      <c r="E369" s="131">
        <v>10000</v>
      </c>
      <c r="F369" s="131">
        <v>10000</v>
      </c>
      <c r="G369" s="125">
        <f t="shared" si="30"/>
        <v>100</v>
      </c>
      <c r="H369" s="356">
        <f t="shared" si="31"/>
        <v>0.029673590504451036</v>
      </c>
    </row>
    <row r="370" spans="1:13" ht="14.25" customHeight="1">
      <c r="A370" s="106"/>
      <c r="B370" s="35"/>
      <c r="C370" s="48"/>
      <c r="D370" s="132" t="s">
        <v>43</v>
      </c>
      <c r="E370" s="126">
        <f>SUM(E371:E385)</f>
        <v>4241200</v>
      </c>
      <c r="F370" s="122">
        <f>SUM(F371:F385)</f>
        <v>4286800</v>
      </c>
      <c r="G370" s="122">
        <f t="shared" si="30"/>
        <v>101.07516740545128</v>
      </c>
      <c r="H370" s="158">
        <f t="shared" si="31"/>
        <v>12.720474777448072</v>
      </c>
      <c r="K370" s="1"/>
      <c r="L370" s="1"/>
      <c r="M370" s="1"/>
    </row>
    <row r="371" spans="1:8" ht="12.75">
      <c r="A371" s="106">
        <v>1090</v>
      </c>
      <c r="B371" s="109"/>
      <c r="C371" s="48">
        <v>416100</v>
      </c>
      <c r="D371" s="70" t="s">
        <v>45</v>
      </c>
      <c r="E371" s="131">
        <v>118500</v>
      </c>
      <c r="F371" s="131">
        <v>120000</v>
      </c>
      <c r="G371" s="125">
        <f t="shared" si="30"/>
        <v>101.26582278481013</v>
      </c>
      <c r="H371" s="356">
        <f t="shared" si="31"/>
        <v>0.35608308605341243</v>
      </c>
    </row>
    <row r="372" spans="1:8" ht="12.75" customHeight="1">
      <c r="A372" s="106" t="s">
        <v>26</v>
      </c>
      <c r="B372" s="109"/>
      <c r="C372" s="48">
        <v>416100</v>
      </c>
      <c r="D372" s="70" t="s">
        <v>182</v>
      </c>
      <c r="E372" s="131">
        <v>118500</v>
      </c>
      <c r="F372" s="131">
        <v>120000</v>
      </c>
      <c r="G372" s="125">
        <f t="shared" si="30"/>
        <v>101.26582278481013</v>
      </c>
      <c r="H372" s="356">
        <f t="shared" si="31"/>
        <v>0.35608308605341243</v>
      </c>
    </row>
    <row r="373" spans="1:8" ht="12.75" customHeight="1">
      <c r="A373" s="106">
        <v>1090</v>
      </c>
      <c r="B373" s="109"/>
      <c r="C373" s="48">
        <v>416100</v>
      </c>
      <c r="D373" s="70" t="s">
        <v>99</v>
      </c>
      <c r="E373" s="131">
        <v>1261000</v>
      </c>
      <c r="F373" s="131">
        <v>1250000</v>
      </c>
      <c r="G373" s="125">
        <f t="shared" si="30"/>
        <v>99.12767644726408</v>
      </c>
      <c r="H373" s="356">
        <f t="shared" si="31"/>
        <v>3.7091988130563793</v>
      </c>
    </row>
    <row r="374" spans="1:8" ht="12.75">
      <c r="A374" s="106" t="s">
        <v>26</v>
      </c>
      <c r="B374" s="109"/>
      <c r="C374" s="48">
        <v>416100</v>
      </c>
      <c r="D374" s="70" t="s">
        <v>183</v>
      </c>
      <c r="E374" s="131">
        <v>1261000</v>
      </c>
      <c r="F374" s="131">
        <v>1250000</v>
      </c>
      <c r="G374" s="125">
        <f t="shared" si="30"/>
        <v>99.12767644726408</v>
      </c>
      <c r="H374" s="356">
        <f t="shared" si="31"/>
        <v>3.7091988130563793</v>
      </c>
    </row>
    <row r="375" spans="1:8" ht="12.75" customHeight="1">
      <c r="A375" s="106">
        <v>1090</v>
      </c>
      <c r="B375" s="109"/>
      <c r="C375" s="78">
        <v>416100</v>
      </c>
      <c r="D375" s="70" t="s">
        <v>47</v>
      </c>
      <c r="E375" s="131">
        <v>20000</v>
      </c>
      <c r="F375" s="131">
        <v>23000</v>
      </c>
      <c r="G375" s="125">
        <f t="shared" si="30"/>
        <v>114.99999999999999</v>
      </c>
      <c r="H375" s="356">
        <f t="shared" si="31"/>
        <v>0.0682492581602374</v>
      </c>
    </row>
    <row r="376" spans="1:8" ht="12.75" customHeight="1">
      <c r="A376" s="106">
        <v>1090</v>
      </c>
      <c r="B376" s="109"/>
      <c r="C376" s="78">
        <v>416100</v>
      </c>
      <c r="D376" s="70" t="s">
        <v>48</v>
      </c>
      <c r="E376" s="131">
        <v>52000</v>
      </c>
      <c r="F376" s="131">
        <v>52000</v>
      </c>
      <c r="G376" s="125">
        <f t="shared" si="30"/>
        <v>100</v>
      </c>
      <c r="H376" s="356">
        <f t="shared" si="31"/>
        <v>0.1543026706231454</v>
      </c>
    </row>
    <row r="377" spans="1:8" ht="26.25" customHeight="1">
      <c r="A377" s="106" t="s">
        <v>26</v>
      </c>
      <c r="B377" s="109"/>
      <c r="C377" s="78">
        <v>416100</v>
      </c>
      <c r="D377" s="70" t="s">
        <v>378</v>
      </c>
      <c r="E377" s="131">
        <v>560000</v>
      </c>
      <c r="F377" s="131">
        <v>570000</v>
      </c>
      <c r="G377" s="125">
        <f t="shared" si="30"/>
        <v>101.78571428571428</v>
      </c>
      <c r="H377" s="356">
        <f t="shared" si="31"/>
        <v>1.6913946587537092</v>
      </c>
    </row>
    <row r="378" spans="1:8" ht="25.5">
      <c r="A378" s="106" t="s">
        <v>26</v>
      </c>
      <c r="B378" s="109"/>
      <c r="C378" s="78">
        <v>416100</v>
      </c>
      <c r="D378" s="70" t="s">
        <v>394</v>
      </c>
      <c r="E378" s="131">
        <v>31000</v>
      </c>
      <c r="F378" s="131">
        <v>40000</v>
      </c>
      <c r="G378" s="125">
        <f t="shared" si="30"/>
        <v>129.03225806451613</v>
      </c>
      <c r="H378" s="356">
        <f t="shared" si="31"/>
        <v>0.11869436201780414</v>
      </c>
    </row>
    <row r="379" spans="1:8" ht="14.25" customHeight="1">
      <c r="A379" s="106" t="s">
        <v>26</v>
      </c>
      <c r="B379" s="109"/>
      <c r="C379" s="78">
        <v>416100</v>
      </c>
      <c r="D379" s="70" t="s">
        <v>406</v>
      </c>
      <c r="E379" s="131">
        <v>33000</v>
      </c>
      <c r="F379" s="131">
        <v>42400</v>
      </c>
      <c r="G379" s="125">
        <f t="shared" si="30"/>
        <v>128.4848484848485</v>
      </c>
      <c r="H379" s="356">
        <f t="shared" si="31"/>
        <v>0.1258160237388724</v>
      </c>
    </row>
    <row r="380" spans="1:8" ht="12.75">
      <c r="A380" s="106" t="s">
        <v>26</v>
      </c>
      <c r="B380" s="109"/>
      <c r="C380" s="48">
        <v>416300</v>
      </c>
      <c r="D380" s="109" t="s">
        <v>46</v>
      </c>
      <c r="E380" s="131">
        <v>122000</v>
      </c>
      <c r="F380" s="131">
        <v>125000</v>
      </c>
      <c r="G380" s="125">
        <f t="shared" si="30"/>
        <v>102.45901639344261</v>
      </c>
      <c r="H380" s="356">
        <f t="shared" si="31"/>
        <v>0.370919881305638</v>
      </c>
    </row>
    <row r="381" spans="1:8" ht="25.5">
      <c r="A381" s="106" t="s">
        <v>26</v>
      </c>
      <c r="B381" s="109"/>
      <c r="C381" s="48">
        <v>416300</v>
      </c>
      <c r="D381" s="70" t="s">
        <v>407</v>
      </c>
      <c r="E381" s="131">
        <v>9000</v>
      </c>
      <c r="F381" s="131">
        <v>9400</v>
      </c>
      <c r="G381" s="125">
        <f t="shared" si="30"/>
        <v>104.44444444444446</v>
      </c>
      <c r="H381" s="356">
        <f t="shared" si="31"/>
        <v>0.027893175074183974</v>
      </c>
    </row>
    <row r="382" spans="1:8" ht="12.75">
      <c r="A382" s="106">
        <v>1090</v>
      </c>
      <c r="B382" s="109"/>
      <c r="C382" s="48">
        <v>416300</v>
      </c>
      <c r="D382" s="70" t="s">
        <v>98</v>
      </c>
      <c r="E382" s="131">
        <v>457000</v>
      </c>
      <c r="F382" s="131">
        <v>470000</v>
      </c>
      <c r="G382" s="125">
        <f t="shared" si="30"/>
        <v>102.84463894967178</v>
      </c>
      <c r="H382" s="356">
        <f t="shared" si="31"/>
        <v>1.3946587537091988</v>
      </c>
    </row>
    <row r="383" spans="1:8" ht="12.75">
      <c r="A383" s="106" t="s">
        <v>26</v>
      </c>
      <c r="B383" s="109"/>
      <c r="C383" s="48">
        <v>418200</v>
      </c>
      <c r="D383" s="70" t="s">
        <v>425</v>
      </c>
      <c r="E383" s="131">
        <v>20200</v>
      </c>
      <c r="F383" s="131">
        <v>22000</v>
      </c>
      <c r="G383" s="125">
        <f t="shared" si="30"/>
        <v>108.91089108910892</v>
      </c>
      <c r="H383" s="356">
        <f t="shared" si="31"/>
        <v>0.06528189910979228</v>
      </c>
    </row>
    <row r="384" spans="1:8" ht="12.75">
      <c r="A384" s="106" t="s">
        <v>26</v>
      </c>
      <c r="B384" s="35"/>
      <c r="C384" s="78">
        <v>487400</v>
      </c>
      <c r="D384" s="75" t="s">
        <v>44</v>
      </c>
      <c r="E384" s="131">
        <v>100000</v>
      </c>
      <c r="F384" s="131">
        <v>107000</v>
      </c>
      <c r="G384" s="125">
        <f t="shared" si="30"/>
        <v>107</v>
      </c>
      <c r="H384" s="356">
        <f t="shared" si="31"/>
        <v>0.31750741839762614</v>
      </c>
    </row>
    <row r="385" spans="1:8" ht="12.75" customHeight="1">
      <c r="A385" s="106" t="s">
        <v>26</v>
      </c>
      <c r="B385" s="109"/>
      <c r="C385" s="78">
        <v>487400</v>
      </c>
      <c r="D385" s="75" t="s">
        <v>184</v>
      </c>
      <c r="E385" s="131">
        <v>78000</v>
      </c>
      <c r="F385" s="131">
        <v>86000</v>
      </c>
      <c r="G385" s="125">
        <f t="shared" si="30"/>
        <v>110.25641025641026</v>
      </c>
      <c r="H385" s="356">
        <f t="shared" si="31"/>
        <v>0.2551928783382789</v>
      </c>
    </row>
    <row r="386" spans="1:8" ht="12.75" customHeight="1">
      <c r="A386" s="106"/>
      <c r="B386" s="35">
        <v>418000</v>
      </c>
      <c r="C386" s="48"/>
      <c r="D386" s="120" t="s">
        <v>470</v>
      </c>
      <c r="E386" s="160">
        <f>SUM(E387:E389)</f>
        <v>43295</v>
      </c>
      <c r="F386" s="160">
        <f>SUM(F387:F388)</f>
        <v>42400</v>
      </c>
      <c r="G386" s="122">
        <f>IF(E386&gt;0,F386/E386*100,0)</f>
        <v>97.93278669592331</v>
      </c>
      <c r="H386" s="158">
        <f t="shared" si="31"/>
        <v>0.1258160237388724</v>
      </c>
    </row>
    <row r="387" spans="1:8" ht="12.75" customHeight="1">
      <c r="A387" s="106" t="s">
        <v>26</v>
      </c>
      <c r="B387" s="35"/>
      <c r="C387" s="48">
        <v>418400</v>
      </c>
      <c r="D387" s="70" t="s">
        <v>115</v>
      </c>
      <c r="E387" s="131">
        <v>23220</v>
      </c>
      <c r="F387" s="131">
        <v>22900</v>
      </c>
      <c r="G387" s="125">
        <f>IF(E387&gt;0,F387/E387*100,0)</f>
        <v>98.62187769164514</v>
      </c>
      <c r="H387" s="356">
        <f t="shared" si="31"/>
        <v>0.06795252225519288</v>
      </c>
    </row>
    <row r="388" spans="1:8" ht="12.75" customHeight="1">
      <c r="A388" s="106" t="s">
        <v>26</v>
      </c>
      <c r="B388" s="109"/>
      <c r="C388" s="48">
        <v>418400</v>
      </c>
      <c r="D388" s="424" t="s">
        <v>592</v>
      </c>
      <c r="E388" s="131">
        <v>19930</v>
      </c>
      <c r="F388" s="131">
        <v>19500</v>
      </c>
      <c r="G388" s="125">
        <f>IF(E388&gt;0,F388/E388*100,0)</f>
        <v>97.84244856999497</v>
      </c>
      <c r="H388" s="356">
        <f t="shared" si="31"/>
        <v>0.05786350148367953</v>
      </c>
    </row>
    <row r="389" spans="1:8" ht="12.75" customHeight="1">
      <c r="A389" s="106" t="s">
        <v>26</v>
      </c>
      <c r="B389" s="109"/>
      <c r="C389" s="48">
        <v>418400</v>
      </c>
      <c r="D389" s="424" t="s">
        <v>667</v>
      </c>
      <c r="E389" s="131">
        <v>145</v>
      </c>
      <c r="F389" s="131">
        <v>0</v>
      </c>
      <c r="G389" s="125">
        <f>IF(E389&gt;0,F389/E389*100,0)</f>
        <v>0</v>
      </c>
      <c r="H389" s="356">
        <f t="shared" si="31"/>
        <v>0</v>
      </c>
    </row>
    <row r="390" spans="1:8" ht="12.75" customHeight="1">
      <c r="A390" s="106"/>
      <c r="B390" s="35">
        <v>419000</v>
      </c>
      <c r="C390" s="48"/>
      <c r="D390" s="120" t="s">
        <v>281</v>
      </c>
      <c r="E390" s="160">
        <f>SUM(E391)</f>
        <v>2500</v>
      </c>
      <c r="F390" s="122">
        <f>SUM(F391)</f>
        <v>2500</v>
      </c>
      <c r="G390" s="122">
        <f t="shared" si="30"/>
        <v>100</v>
      </c>
      <c r="H390" s="158">
        <f t="shared" si="31"/>
        <v>0.007418397626112759</v>
      </c>
    </row>
    <row r="391" spans="1:8" ht="12.75" customHeight="1">
      <c r="A391" s="106" t="s">
        <v>26</v>
      </c>
      <c r="B391" s="109"/>
      <c r="C391" s="48">
        <v>419100</v>
      </c>
      <c r="D391" s="109" t="s">
        <v>281</v>
      </c>
      <c r="E391" s="129">
        <v>2500</v>
      </c>
      <c r="F391" s="129">
        <v>2500</v>
      </c>
      <c r="G391" s="125">
        <f t="shared" si="30"/>
        <v>100</v>
      </c>
      <c r="H391" s="356">
        <f t="shared" si="31"/>
        <v>0.007418397626112759</v>
      </c>
    </row>
    <row r="392" spans="1:8" ht="14.25" customHeight="1">
      <c r="A392" s="106"/>
      <c r="B392" s="35">
        <v>511000</v>
      </c>
      <c r="C392" s="48"/>
      <c r="D392" s="120" t="s">
        <v>130</v>
      </c>
      <c r="E392" s="160">
        <f>SUM(E393:E393)</f>
        <v>1500</v>
      </c>
      <c r="F392" s="122">
        <f>SUM(F393:F393)</f>
        <v>1500</v>
      </c>
      <c r="G392" s="122">
        <f t="shared" si="30"/>
        <v>100</v>
      </c>
      <c r="H392" s="158">
        <f t="shared" si="31"/>
        <v>0.004451038575667656</v>
      </c>
    </row>
    <row r="393" spans="1:8" ht="12.75" customHeight="1">
      <c r="A393" s="106">
        <v>1090</v>
      </c>
      <c r="B393" s="109"/>
      <c r="C393" s="48">
        <v>511300</v>
      </c>
      <c r="D393" s="109" t="s">
        <v>2</v>
      </c>
      <c r="E393" s="129">
        <v>1500</v>
      </c>
      <c r="F393" s="129">
        <v>1500</v>
      </c>
      <c r="G393" s="125">
        <f t="shared" si="30"/>
        <v>100</v>
      </c>
      <c r="H393" s="356">
        <f t="shared" si="31"/>
        <v>0.004451038575667656</v>
      </c>
    </row>
    <row r="394" spans="1:8" ht="16.5" customHeight="1">
      <c r="A394" s="113"/>
      <c r="B394" s="35">
        <v>516000</v>
      </c>
      <c r="C394" s="109"/>
      <c r="D394" s="120" t="s">
        <v>268</v>
      </c>
      <c r="E394" s="126">
        <f>SUM(E395)</f>
        <v>1000</v>
      </c>
      <c r="F394" s="122">
        <f>SUM(F395)</f>
        <v>2000</v>
      </c>
      <c r="G394" s="122">
        <f t="shared" si="30"/>
        <v>200</v>
      </c>
      <c r="H394" s="158">
        <f t="shared" si="31"/>
        <v>0.005934718100890208</v>
      </c>
    </row>
    <row r="395" spans="1:8" ht="12.75">
      <c r="A395" s="113" t="s">
        <v>26</v>
      </c>
      <c r="B395" s="109"/>
      <c r="C395" s="109">
        <v>516100</v>
      </c>
      <c r="D395" s="70" t="s">
        <v>261</v>
      </c>
      <c r="E395" s="129">
        <v>1000</v>
      </c>
      <c r="F395" s="129">
        <v>2000</v>
      </c>
      <c r="G395" s="125">
        <f t="shared" si="30"/>
        <v>200</v>
      </c>
      <c r="H395" s="356">
        <f t="shared" si="31"/>
        <v>0.005934718100890208</v>
      </c>
    </row>
    <row r="396" spans="1:8" ht="15.75" customHeight="1">
      <c r="A396" s="113"/>
      <c r="B396" s="35">
        <v>638000</v>
      </c>
      <c r="C396" s="48"/>
      <c r="D396" s="120" t="s">
        <v>295</v>
      </c>
      <c r="E396" s="126">
        <f>SUM(E397)</f>
        <v>18300</v>
      </c>
      <c r="F396" s="122">
        <f>SUM(F397)</f>
        <v>4000</v>
      </c>
      <c r="G396" s="122">
        <f t="shared" si="30"/>
        <v>21.85792349726776</v>
      </c>
      <c r="H396" s="158">
        <f t="shared" si="31"/>
        <v>0.011869436201780416</v>
      </c>
    </row>
    <row r="397" spans="1:8" ht="25.5" customHeight="1">
      <c r="A397" s="106"/>
      <c r="B397" s="109"/>
      <c r="C397" s="48">
        <v>638100</v>
      </c>
      <c r="D397" s="70" t="s">
        <v>296</v>
      </c>
      <c r="E397" s="131">
        <v>18300</v>
      </c>
      <c r="F397" s="131">
        <v>4000</v>
      </c>
      <c r="G397" s="125">
        <f t="shared" si="30"/>
        <v>21.85792349726776</v>
      </c>
      <c r="H397" s="356">
        <f t="shared" si="31"/>
        <v>0.011869436201780416</v>
      </c>
    </row>
    <row r="398" spans="1:8" ht="26.25" customHeight="1">
      <c r="A398" s="493"/>
      <c r="B398" s="494"/>
      <c r="C398" s="481" t="s">
        <v>83</v>
      </c>
      <c r="D398" s="482"/>
      <c r="E398" s="144">
        <f>E354+E359+E370+E386+E390+E392+E394+E396</f>
        <v>4868815</v>
      </c>
      <c r="F398" s="144">
        <f>F354+F359+F370+F386+F390+F392+F394+F396</f>
        <v>4953900</v>
      </c>
      <c r="G398" s="340">
        <f t="shared" si="30"/>
        <v>101.74755048199613</v>
      </c>
      <c r="H398" s="320">
        <f t="shared" si="31"/>
        <v>14.7</v>
      </c>
    </row>
    <row r="399" spans="1:8" ht="12.75">
      <c r="A399" s="146"/>
      <c r="B399" s="147"/>
      <c r="C399" s="479" t="s">
        <v>478</v>
      </c>
      <c r="D399" s="480"/>
      <c r="E399" s="148"/>
      <c r="F399" s="148"/>
      <c r="G399" s="148"/>
      <c r="H399" s="212"/>
    </row>
    <row r="400" spans="1:8" ht="12.75">
      <c r="A400" s="150"/>
      <c r="B400" s="151"/>
      <c r="C400" s="480"/>
      <c r="D400" s="480"/>
      <c r="E400" s="152"/>
      <c r="F400" s="152"/>
      <c r="G400" s="152"/>
      <c r="H400" s="213"/>
    </row>
    <row r="401" spans="1:8" ht="18" customHeight="1">
      <c r="A401" s="154"/>
      <c r="B401" s="155"/>
      <c r="C401" s="480"/>
      <c r="D401" s="480"/>
      <c r="E401" s="156"/>
      <c r="F401" s="156"/>
      <c r="G401" s="156"/>
      <c r="H401" s="214"/>
    </row>
    <row r="402" spans="1:8" ht="12.75">
      <c r="A402" s="106"/>
      <c r="B402" s="35">
        <v>411000</v>
      </c>
      <c r="C402" s="109"/>
      <c r="D402" s="53" t="s">
        <v>297</v>
      </c>
      <c r="E402" s="121">
        <f>SUM(E403:E406)</f>
        <v>786200</v>
      </c>
      <c r="F402" s="122">
        <f>SUM(F403:F406)</f>
        <v>781500</v>
      </c>
      <c r="G402" s="122">
        <f aca="true" t="shared" si="32" ref="G402:G425">IF(E402&gt;0,F402/E402*100,0)</f>
        <v>99.40218773848893</v>
      </c>
      <c r="H402" s="158">
        <f aca="true" t="shared" si="33" ref="H402:H425">F402/$F$608*100</f>
        <v>2.318991097922849</v>
      </c>
    </row>
    <row r="403" spans="1:8" ht="12.75">
      <c r="A403" s="106" t="s">
        <v>50</v>
      </c>
      <c r="B403" s="109"/>
      <c r="C403" s="48">
        <v>411100</v>
      </c>
      <c r="D403" s="54" t="s">
        <v>293</v>
      </c>
      <c r="E403" s="173">
        <v>580000</v>
      </c>
      <c r="F403" s="173">
        <v>561000</v>
      </c>
      <c r="G403" s="125">
        <f t="shared" si="32"/>
        <v>96.72413793103448</v>
      </c>
      <c r="H403" s="356">
        <f t="shared" si="33"/>
        <v>1.6646884272997031</v>
      </c>
    </row>
    <row r="404" spans="1:8" ht="25.5" customHeight="1">
      <c r="A404" s="106" t="s">
        <v>50</v>
      </c>
      <c r="B404" s="109"/>
      <c r="C404" s="48">
        <v>411200</v>
      </c>
      <c r="D404" s="54" t="s">
        <v>298</v>
      </c>
      <c r="E404" s="131">
        <v>182000</v>
      </c>
      <c r="F404" s="131">
        <v>196000</v>
      </c>
      <c r="G404" s="125">
        <f t="shared" si="32"/>
        <v>107.6923076923077</v>
      </c>
      <c r="H404" s="356">
        <f t="shared" si="33"/>
        <v>0.5816023738872403</v>
      </c>
    </row>
    <row r="405" spans="1:8" ht="25.5">
      <c r="A405" s="106" t="s">
        <v>50</v>
      </c>
      <c r="B405" s="109"/>
      <c r="C405" s="48">
        <v>411300</v>
      </c>
      <c r="D405" s="54" t="s">
        <v>373</v>
      </c>
      <c r="E405" s="129">
        <v>17000</v>
      </c>
      <c r="F405" s="129">
        <v>15000</v>
      </c>
      <c r="G405" s="125">
        <f t="shared" si="32"/>
        <v>88.23529411764706</v>
      </c>
      <c r="H405" s="356">
        <f t="shared" si="33"/>
        <v>0.044510385756676554</v>
      </c>
    </row>
    <row r="406" spans="1:8" ht="12.75">
      <c r="A406" s="106" t="s">
        <v>50</v>
      </c>
      <c r="B406" s="109"/>
      <c r="C406" s="48">
        <v>411400</v>
      </c>
      <c r="D406" s="55" t="s">
        <v>294</v>
      </c>
      <c r="E406" s="129">
        <v>7200</v>
      </c>
      <c r="F406" s="129">
        <v>9500</v>
      </c>
      <c r="G406" s="125">
        <f t="shared" si="32"/>
        <v>131.94444444444443</v>
      </c>
      <c r="H406" s="356">
        <f t="shared" si="33"/>
        <v>0.028189910979228485</v>
      </c>
    </row>
    <row r="407" spans="1:8" ht="12.75">
      <c r="A407" s="106"/>
      <c r="B407" s="35">
        <v>412000</v>
      </c>
      <c r="C407" s="48"/>
      <c r="D407" s="120" t="s">
        <v>114</v>
      </c>
      <c r="E407" s="160">
        <f>SUM(E408:E416)</f>
        <v>169326.5</v>
      </c>
      <c r="F407" s="122">
        <f>SUM(F408:F416)</f>
        <v>177000</v>
      </c>
      <c r="G407" s="122">
        <f t="shared" si="32"/>
        <v>104.53177736503146</v>
      </c>
      <c r="H407" s="158">
        <f t="shared" si="33"/>
        <v>0.5252225519287834</v>
      </c>
    </row>
    <row r="408" spans="1:8" ht="25.5">
      <c r="A408" s="106" t="s">
        <v>50</v>
      </c>
      <c r="B408" s="35"/>
      <c r="C408" s="48">
        <v>412200</v>
      </c>
      <c r="D408" s="70" t="s">
        <v>116</v>
      </c>
      <c r="E408" s="129">
        <v>51000</v>
      </c>
      <c r="F408" s="129">
        <v>52000</v>
      </c>
      <c r="G408" s="125">
        <f t="shared" si="32"/>
        <v>101.96078431372548</v>
      </c>
      <c r="H408" s="356">
        <f t="shared" si="33"/>
        <v>0.1543026706231454</v>
      </c>
    </row>
    <row r="409" spans="1:8" ht="12.75">
      <c r="A409" s="106" t="s">
        <v>50</v>
      </c>
      <c r="B409" s="35"/>
      <c r="C409" s="48">
        <v>412300</v>
      </c>
      <c r="D409" s="109" t="s">
        <v>117</v>
      </c>
      <c r="E409" s="129">
        <v>15500</v>
      </c>
      <c r="F409" s="129">
        <v>15500</v>
      </c>
      <c r="G409" s="125">
        <f t="shared" si="32"/>
        <v>100</v>
      </c>
      <c r="H409" s="356">
        <f t="shared" si="33"/>
        <v>0.04599406528189911</v>
      </c>
    </row>
    <row r="410" spans="1:8" ht="12.75">
      <c r="A410" s="106" t="s">
        <v>50</v>
      </c>
      <c r="B410" s="35"/>
      <c r="C410" s="48">
        <v>412400</v>
      </c>
      <c r="D410" s="70" t="s">
        <v>118</v>
      </c>
      <c r="E410" s="131">
        <v>72000</v>
      </c>
      <c r="F410" s="131">
        <v>75000</v>
      </c>
      <c r="G410" s="125">
        <f t="shared" si="32"/>
        <v>104.16666666666667</v>
      </c>
      <c r="H410" s="356">
        <f t="shared" si="33"/>
        <v>0.22255192878338279</v>
      </c>
    </row>
    <row r="411" spans="1:8" ht="25.5">
      <c r="A411" s="106" t="s">
        <v>50</v>
      </c>
      <c r="B411" s="35"/>
      <c r="C411" s="48">
        <v>412400</v>
      </c>
      <c r="D411" s="70" t="s">
        <v>668</v>
      </c>
      <c r="E411" s="131">
        <v>1200</v>
      </c>
      <c r="F411" s="131">
        <v>0</v>
      </c>
      <c r="G411" s="125">
        <f>IF(E411&gt;0,F411/E411*100,0)</f>
        <v>0</v>
      </c>
      <c r="H411" s="356">
        <f t="shared" si="33"/>
        <v>0</v>
      </c>
    </row>
    <row r="412" spans="1:8" ht="12.75">
      <c r="A412" s="106" t="s">
        <v>50</v>
      </c>
      <c r="B412" s="35"/>
      <c r="C412" s="48">
        <v>412500</v>
      </c>
      <c r="D412" s="109" t="s">
        <v>119</v>
      </c>
      <c r="E412" s="131">
        <v>9000</v>
      </c>
      <c r="F412" s="131">
        <v>13000</v>
      </c>
      <c r="G412" s="125">
        <f t="shared" si="32"/>
        <v>144.44444444444443</v>
      </c>
      <c r="H412" s="356">
        <f t="shared" si="33"/>
        <v>0.03857566765578635</v>
      </c>
    </row>
    <row r="413" spans="1:8" ht="12.75">
      <c r="A413" s="106" t="s">
        <v>50</v>
      </c>
      <c r="B413" s="35"/>
      <c r="C413" s="48">
        <v>412600</v>
      </c>
      <c r="D413" s="109" t="s">
        <v>120</v>
      </c>
      <c r="E413" s="131">
        <v>1000</v>
      </c>
      <c r="F413" s="131">
        <v>1000</v>
      </c>
      <c r="G413" s="125">
        <f t="shared" si="32"/>
        <v>100</v>
      </c>
      <c r="H413" s="356">
        <f t="shared" si="33"/>
        <v>0.002967359050445104</v>
      </c>
    </row>
    <row r="414" spans="1:8" ht="12.75">
      <c r="A414" s="106" t="s">
        <v>50</v>
      </c>
      <c r="B414" s="35"/>
      <c r="C414" s="109">
        <v>412700</v>
      </c>
      <c r="D414" s="109" t="s">
        <v>121</v>
      </c>
      <c r="E414" s="131">
        <v>2300</v>
      </c>
      <c r="F414" s="131">
        <v>2500</v>
      </c>
      <c r="G414" s="125">
        <f t="shared" si="32"/>
        <v>108.69565217391303</v>
      </c>
      <c r="H414" s="356">
        <f t="shared" si="33"/>
        <v>0.007418397626112759</v>
      </c>
    </row>
    <row r="415" spans="1:8" ht="12.75">
      <c r="A415" s="106" t="s">
        <v>50</v>
      </c>
      <c r="B415" s="35"/>
      <c r="C415" s="109">
        <v>412900</v>
      </c>
      <c r="D415" s="109" t="s">
        <v>123</v>
      </c>
      <c r="E415" s="131">
        <v>12000</v>
      </c>
      <c r="F415" s="131">
        <v>12000</v>
      </c>
      <c r="G415" s="125">
        <f t="shared" si="32"/>
        <v>100</v>
      </c>
      <c r="H415" s="356">
        <f t="shared" si="33"/>
        <v>0.03560830860534125</v>
      </c>
    </row>
    <row r="416" spans="1:8" ht="25.5">
      <c r="A416" s="106" t="s">
        <v>50</v>
      </c>
      <c r="B416" s="35"/>
      <c r="C416" s="109">
        <v>412900</v>
      </c>
      <c r="D416" s="70" t="s">
        <v>320</v>
      </c>
      <c r="E416" s="131">
        <v>5326.5</v>
      </c>
      <c r="F416" s="131">
        <v>6000</v>
      </c>
      <c r="G416" s="125">
        <f t="shared" si="32"/>
        <v>112.64432554210082</v>
      </c>
      <c r="H416" s="356">
        <f t="shared" si="33"/>
        <v>0.017804154302670624</v>
      </c>
    </row>
    <row r="417" spans="1:8" ht="12.75">
      <c r="A417" s="106"/>
      <c r="B417" s="35">
        <v>418000</v>
      </c>
      <c r="C417" s="109"/>
      <c r="D417" s="367" t="s">
        <v>593</v>
      </c>
      <c r="E417" s="354">
        <f>SUM(E418)</f>
        <v>2000</v>
      </c>
      <c r="F417" s="354">
        <f>SUM(F418)</f>
        <v>2000</v>
      </c>
      <c r="G417" s="215">
        <f t="shared" si="32"/>
        <v>100</v>
      </c>
      <c r="H417" s="368">
        <f t="shared" si="33"/>
        <v>0.005934718100890208</v>
      </c>
    </row>
    <row r="418" spans="1:8" ht="25.5">
      <c r="A418" s="106" t="s">
        <v>50</v>
      </c>
      <c r="B418" s="369"/>
      <c r="C418" s="109">
        <v>418400</v>
      </c>
      <c r="D418" s="70" t="s">
        <v>615</v>
      </c>
      <c r="E418" s="131">
        <v>2000</v>
      </c>
      <c r="F418" s="131">
        <v>2000</v>
      </c>
      <c r="G418" s="125">
        <f t="shared" si="32"/>
        <v>100</v>
      </c>
      <c r="H418" s="356">
        <f t="shared" si="33"/>
        <v>0.005934718100890208</v>
      </c>
    </row>
    <row r="419" spans="1:8" ht="12.75">
      <c r="A419" s="106"/>
      <c r="B419" s="35">
        <v>511000</v>
      </c>
      <c r="C419" s="48"/>
      <c r="D419" s="120" t="s">
        <v>130</v>
      </c>
      <c r="E419" s="160">
        <f>SUM(E420:E420)</f>
        <v>4000</v>
      </c>
      <c r="F419" s="122">
        <f>SUM(F420:F420)</f>
        <v>7000</v>
      </c>
      <c r="G419" s="122">
        <f t="shared" si="32"/>
        <v>175</v>
      </c>
      <c r="H419" s="158">
        <f t="shared" si="33"/>
        <v>0.020771513353115726</v>
      </c>
    </row>
    <row r="420" spans="1:8" ht="12.75">
      <c r="A420" s="106" t="s">
        <v>50</v>
      </c>
      <c r="B420" s="35"/>
      <c r="C420" s="48">
        <v>511300</v>
      </c>
      <c r="D420" s="109" t="s">
        <v>2</v>
      </c>
      <c r="E420" s="131">
        <v>4000</v>
      </c>
      <c r="F420" s="131">
        <v>7000</v>
      </c>
      <c r="G420" s="125">
        <f t="shared" si="32"/>
        <v>175</v>
      </c>
      <c r="H420" s="356">
        <f t="shared" si="33"/>
        <v>0.020771513353115726</v>
      </c>
    </row>
    <row r="421" spans="1:8" ht="16.5" customHeight="1">
      <c r="A421" s="106"/>
      <c r="B421" s="35">
        <v>516000</v>
      </c>
      <c r="C421" s="48"/>
      <c r="D421" s="120" t="s">
        <v>268</v>
      </c>
      <c r="E421" s="160">
        <f>SUM(E422:E422)</f>
        <v>5000</v>
      </c>
      <c r="F421" s="122">
        <f>SUM(F422:F422)</f>
        <v>6000</v>
      </c>
      <c r="G421" s="122">
        <f t="shared" si="32"/>
        <v>120</v>
      </c>
      <c r="H421" s="158">
        <f t="shared" si="33"/>
        <v>0.017804154302670624</v>
      </c>
    </row>
    <row r="422" spans="1:8" ht="12.75">
      <c r="A422" s="106" t="s">
        <v>50</v>
      </c>
      <c r="B422" s="109"/>
      <c r="C422" s="48">
        <v>516100</v>
      </c>
      <c r="D422" s="109" t="s">
        <v>262</v>
      </c>
      <c r="E422" s="131">
        <v>5000</v>
      </c>
      <c r="F422" s="131">
        <v>6000</v>
      </c>
      <c r="G422" s="125">
        <f t="shared" si="32"/>
        <v>120</v>
      </c>
      <c r="H422" s="356">
        <f t="shared" si="33"/>
        <v>0.017804154302670624</v>
      </c>
    </row>
    <row r="423" spans="1:8" ht="12.75">
      <c r="A423" s="106"/>
      <c r="B423" s="35">
        <v>638000</v>
      </c>
      <c r="C423" s="48"/>
      <c r="D423" s="120" t="s">
        <v>295</v>
      </c>
      <c r="E423" s="126">
        <f>SUM(E424)</f>
        <v>61000</v>
      </c>
      <c r="F423" s="122">
        <f>SUM(F424)</f>
        <v>60000</v>
      </c>
      <c r="G423" s="122">
        <f t="shared" si="32"/>
        <v>98.36065573770492</v>
      </c>
      <c r="H423" s="158">
        <f t="shared" si="33"/>
        <v>0.17804154302670622</v>
      </c>
    </row>
    <row r="424" spans="1:8" ht="25.5">
      <c r="A424" s="106"/>
      <c r="B424" s="109"/>
      <c r="C424" s="48">
        <v>638100</v>
      </c>
      <c r="D424" s="336" t="s">
        <v>296</v>
      </c>
      <c r="E424" s="225">
        <v>61000</v>
      </c>
      <c r="F424" s="129">
        <v>60000</v>
      </c>
      <c r="G424" s="125">
        <f t="shared" si="32"/>
        <v>98.36065573770492</v>
      </c>
      <c r="H424" s="356">
        <f t="shared" si="33"/>
        <v>0.17804154302670622</v>
      </c>
    </row>
    <row r="425" spans="1:8" ht="25.5" customHeight="1">
      <c r="A425" s="493"/>
      <c r="B425" s="494"/>
      <c r="C425" s="481" t="s">
        <v>87</v>
      </c>
      <c r="D425" s="482"/>
      <c r="E425" s="144">
        <f>E402+E407+E417+E419+E421+E423</f>
        <v>1027526.5</v>
      </c>
      <c r="F425" s="397">
        <f>F402+F407+F417+F419+F421+F423</f>
        <v>1033500</v>
      </c>
      <c r="G425" s="340">
        <f t="shared" si="32"/>
        <v>100.58134753702217</v>
      </c>
      <c r="H425" s="320">
        <f t="shared" si="33"/>
        <v>3.0667655786350148</v>
      </c>
    </row>
    <row r="426" spans="1:8" ht="41.25" customHeight="1">
      <c r="A426" s="226"/>
      <c r="B426" s="205"/>
      <c r="C426" s="483" t="s">
        <v>506</v>
      </c>
      <c r="D426" s="484"/>
      <c r="E426" s="307"/>
      <c r="F426" s="307"/>
      <c r="G426" s="308"/>
      <c r="H426" s="311"/>
    </row>
    <row r="427" spans="1:8" ht="12.75">
      <c r="A427" s="226"/>
      <c r="B427" s="312" t="s">
        <v>327</v>
      </c>
      <c r="C427" s="378"/>
      <c r="D427" s="329" t="s">
        <v>297</v>
      </c>
      <c r="E427" s="316">
        <f>SUM(E428:E431)</f>
        <v>4699000</v>
      </c>
      <c r="F427" s="316">
        <f>SUM(F428:F431)</f>
        <v>4686300</v>
      </c>
      <c r="G427" s="316">
        <f aca="true" t="shared" si="34" ref="G427:G466">IF(E427&gt;0,F427/E427*100,0)</f>
        <v>99.72972972972973</v>
      </c>
      <c r="H427" s="317">
        <f aca="true" t="shared" si="35" ref="H427:H466">F427/$F$608*100</f>
        <v>13.905934718100891</v>
      </c>
    </row>
    <row r="428" spans="1:8" ht="12.75">
      <c r="A428" s="226" t="s">
        <v>520</v>
      </c>
      <c r="B428" s="205"/>
      <c r="C428" s="411">
        <v>411100</v>
      </c>
      <c r="D428" s="331" t="s">
        <v>293</v>
      </c>
      <c r="E428" s="321">
        <v>4503000</v>
      </c>
      <c r="F428" s="309">
        <v>4530000</v>
      </c>
      <c r="G428" s="309">
        <f t="shared" si="34"/>
        <v>100.59960026648899</v>
      </c>
      <c r="H428" s="310">
        <f t="shared" si="35"/>
        <v>13.442136498516321</v>
      </c>
    </row>
    <row r="429" spans="1:8" ht="25.5">
      <c r="A429" s="226" t="s">
        <v>520</v>
      </c>
      <c r="B429" s="205"/>
      <c r="C429" s="411">
        <v>411200</v>
      </c>
      <c r="D429" s="332" t="s">
        <v>548</v>
      </c>
      <c r="E429" s="321">
        <v>121000</v>
      </c>
      <c r="F429" s="309">
        <v>101000</v>
      </c>
      <c r="G429" s="309">
        <f t="shared" si="34"/>
        <v>83.47107438016529</v>
      </c>
      <c r="H429" s="310">
        <f t="shared" si="35"/>
        <v>0.2997032640949555</v>
      </c>
    </row>
    <row r="430" spans="1:8" ht="25.5">
      <c r="A430" s="226" t="s">
        <v>520</v>
      </c>
      <c r="B430" s="205"/>
      <c r="C430" s="411">
        <v>411300</v>
      </c>
      <c r="D430" s="332" t="s">
        <v>373</v>
      </c>
      <c r="E430" s="321">
        <v>8500</v>
      </c>
      <c r="F430" s="309">
        <v>12000</v>
      </c>
      <c r="G430" s="309">
        <f t="shared" si="34"/>
        <v>141.1764705882353</v>
      </c>
      <c r="H430" s="310">
        <f t="shared" si="35"/>
        <v>0.03560830860534125</v>
      </c>
    </row>
    <row r="431" spans="1:8" ht="12.75">
      <c r="A431" s="226" t="s">
        <v>520</v>
      </c>
      <c r="B431" s="205"/>
      <c r="C431" s="411">
        <v>411400</v>
      </c>
      <c r="D431" s="331" t="s">
        <v>294</v>
      </c>
      <c r="E431" s="321">
        <v>66500</v>
      </c>
      <c r="F431" s="309">
        <v>43300</v>
      </c>
      <c r="G431" s="309">
        <f t="shared" si="34"/>
        <v>65.11278195488723</v>
      </c>
      <c r="H431" s="310">
        <f t="shared" si="35"/>
        <v>0.128486646884273</v>
      </c>
    </row>
    <row r="432" spans="1:8" ht="12.75">
      <c r="A432" s="226"/>
      <c r="B432" s="312" t="s">
        <v>328</v>
      </c>
      <c r="C432" s="313"/>
      <c r="D432" s="333" t="s">
        <v>114</v>
      </c>
      <c r="E432" s="358">
        <f>SUM(E433:E440)</f>
        <v>1035100</v>
      </c>
      <c r="F432" s="316">
        <f>SUM(F433:F440)</f>
        <v>1093700</v>
      </c>
      <c r="G432" s="316">
        <f t="shared" si="34"/>
        <v>105.6612887643706</v>
      </c>
      <c r="H432" s="317">
        <f t="shared" si="35"/>
        <v>3.2454005934718104</v>
      </c>
    </row>
    <row r="433" spans="1:8" ht="12.75">
      <c r="A433" s="226" t="s">
        <v>520</v>
      </c>
      <c r="B433" s="205"/>
      <c r="C433" s="411">
        <v>412100</v>
      </c>
      <c r="D433" s="331" t="s">
        <v>438</v>
      </c>
      <c r="E433" s="321">
        <v>4940</v>
      </c>
      <c r="F433" s="309">
        <v>4700</v>
      </c>
      <c r="G433" s="309">
        <f t="shared" si="34"/>
        <v>95.1417004048583</v>
      </c>
      <c r="H433" s="310">
        <f t="shared" si="35"/>
        <v>0.013946587537091987</v>
      </c>
    </row>
    <row r="434" spans="1:8" ht="25.5">
      <c r="A434" s="226" t="s">
        <v>520</v>
      </c>
      <c r="B434" s="205"/>
      <c r="C434" s="411">
        <v>412200</v>
      </c>
      <c r="D434" s="332" t="s">
        <v>549</v>
      </c>
      <c r="E434" s="321">
        <v>535000</v>
      </c>
      <c r="F434" s="309">
        <v>562000</v>
      </c>
      <c r="G434" s="309">
        <f t="shared" si="34"/>
        <v>105.04672897196261</v>
      </c>
      <c r="H434" s="310">
        <f t="shared" si="35"/>
        <v>1.6676557863501484</v>
      </c>
    </row>
    <row r="435" spans="1:8" ht="12.75">
      <c r="A435" s="226" t="s">
        <v>520</v>
      </c>
      <c r="B435" s="205"/>
      <c r="C435" s="411">
        <v>412300</v>
      </c>
      <c r="D435" s="332" t="s">
        <v>117</v>
      </c>
      <c r="E435" s="321">
        <v>1000</v>
      </c>
      <c r="F435" s="309">
        <v>1000</v>
      </c>
      <c r="G435" s="309">
        <f t="shared" si="34"/>
        <v>100</v>
      </c>
      <c r="H435" s="310">
        <f t="shared" si="35"/>
        <v>0.002967359050445104</v>
      </c>
    </row>
    <row r="436" spans="1:8" ht="12.75">
      <c r="A436" s="226" t="s">
        <v>520</v>
      </c>
      <c r="B436" s="205"/>
      <c r="C436" s="411">
        <v>412500</v>
      </c>
      <c r="D436" s="331" t="s">
        <v>550</v>
      </c>
      <c r="E436" s="321">
        <v>64000</v>
      </c>
      <c r="F436" s="309">
        <v>61000</v>
      </c>
      <c r="G436" s="309">
        <f t="shared" si="34"/>
        <v>95.3125</v>
      </c>
      <c r="H436" s="310">
        <f t="shared" si="35"/>
        <v>0.18100890207715134</v>
      </c>
    </row>
    <row r="437" spans="1:8" ht="12.75">
      <c r="A437" s="226" t="s">
        <v>520</v>
      </c>
      <c r="B437" s="205"/>
      <c r="C437" s="411">
        <v>412600</v>
      </c>
      <c r="D437" s="331" t="s">
        <v>120</v>
      </c>
      <c r="E437" s="321">
        <v>3000</v>
      </c>
      <c r="F437" s="309">
        <v>4000</v>
      </c>
      <c r="G437" s="309">
        <f t="shared" si="34"/>
        <v>133.33333333333331</v>
      </c>
      <c r="H437" s="310">
        <f t="shared" si="35"/>
        <v>0.011869436201780416</v>
      </c>
    </row>
    <row r="438" spans="1:8" ht="12.75">
      <c r="A438" s="226" t="s">
        <v>520</v>
      </c>
      <c r="B438" s="205"/>
      <c r="C438" s="411">
        <v>412700</v>
      </c>
      <c r="D438" s="331" t="s">
        <v>121</v>
      </c>
      <c r="E438" s="321">
        <v>131160</v>
      </c>
      <c r="F438" s="309">
        <v>146000</v>
      </c>
      <c r="G438" s="309">
        <f t="shared" si="34"/>
        <v>111.31442512961269</v>
      </c>
      <c r="H438" s="310">
        <f t="shared" si="35"/>
        <v>0.43323442136498513</v>
      </c>
    </row>
    <row r="439" spans="1:8" ht="12.75">
      <c r="A439" s="226" t="s">
        <v>520</v>
      </c>
      <c r="B439" s="205"/>
      <c r="C439" s="411">
        <v>412900</v>
      </c>
      <c r="D439" s="331" t="s">
        <v>439</v>
      </c>
      <c r="E439" s="321">
        <v>265000</v>
      </c>
      <c r="F439" s="309">
        <v>288000</v>
      </c>
      <c r="G439" s="309">
        <f t="shared" si="34"/>
        <v>108.67924528301887</v>
      </c>
      <c r="H439" s="310">
        <f t="shared" si="35"/>
        <v>0.8545994065281899</v>
      </c>
    </row>
    <row r="440" spans="1:8" ht="15" customHeight="1">
      <c r="A440" s="226" t="s">
        <v>520</v>
      </c>
      <c r="B440" s="205"/>
      <c r="C440" s="411">
        <v>412900</v>
      </c>
      <c r="D440" s="332" t="s">
        <v>594</v>
      </c>
      <c r="E440" s="321">
        <v>31000</v>
      </c>
      <c r="F440" s="309">
        <v>27000</v>
      </c>
      <c r="G440" s="309">
        <f t="shared" si="34"/>
        <v>87.09677419354838</v>
      </c>
      <c r="H440" s="310">
        <f t="shared" si="35"/>
        <v>0.08011869436201781</v>
      </c>
    </row>
    <row r="441" spans="1:8" ht="12.75" customHeight="1" hidden="1">
      <c r="A441" s="226"/>
      <c r="B441" s="205" t="s">
        <v>440</v>
      </c>
      <c r="C441" s="143"/>
      <c r="D441" s="329" t="s">
        <v>124</v>
      </c>
      <c r="E441" s="315">
        <f>SUM(E442)</f>
        <v>0</v>
      </c>
      <c r="F441" s="400">
        <f>SUM(F442)</f>
        <v>0</v>
      </c>
      <c r="G441" s="316">
        <f t="shared" si="34"/>
        <v>0</v>
      </c>
      <c r="H441" s="317">
        <f t="shared" si="35"/>
        <v>0</v>
      </c>
    </row>
    <row r="442" spans="1:8" ht="22.5" customHeight="1" hidden="1">
      <c r="A442" s="226" t="s">
        <v>459</v>
      </c>
      <c r="B442" s="205"/>
      <c r="C442" s="143">
        <v>413300</v>
      </c>
      <c r="D442" s="143" t="s">
        <v>446</v>
      </c>
      <c r="E442" s="321">
        <v>0</v>
      </c>
      <c r="F442" s="309">
        <v>0</v>
      </c>
      <c r="G442" s="316">
        <f t="shared" si="34"/>
        <v>0</v>
      </c>
      <c r="H442" s="317">
        <f t="shared" si="35"/>
        <v>0</v>
      </c>
    </row>
    <row r="443" spans="1:8" ht="14.25" customHeight="1">
      <c r="A443" s="226"/>
      <c r="B443" s="223" t="s">
        <v>441</v>
      </c>
      <c r="C443" s="143"/>
      <c r="D443" s="246" t="s">
        <v>585</v>
      </c>
      <c r="E443" s="358">
        <f>SUM(E444:E444)</f>
        <v>6000</v>
      </c>
      <c r="F443" s="316">
        <f>SUM(F444:F444)</f>
        <v>6000</v>
      </c>
      <c r="G443" s="316">
        <f t="shared" si="34"/>
        <v>100</v>
      </c>
      <c r="H443" s="317">
        <f t="shared" si="35"/>
        <v>0.017804154302670624</v>
      </c>
    </row>
    <row r="444" spans="1:8" ht="23.25" customHeight="1">
      <c r="A444" s="226" t="s">
        <v>520</v>
      </c>
      <c r="B444" s="205"/>
      <c r="C444" s="295">
        <v>418200</v>
      </c>
      <c r="D444" s="332" t="s">
        <v>551</v>
      </c>
      <c r="E444" s="321">
        <v>6000</v>
      </c>
      <c r="F444" s="309">
        <v>6000</v>
      </c>
      <c r="G444" s="309">
        <f t="shared" si="34"/>
        <v>100</v>
      </c>
      <c r="H444" s="310">
        <f t="shared" si="35"/>
        <v>0.017804154302670624</v>
      </c>
    </row>
    <row r="445" spans="1:8" ht="15" customHeight="1">
      <c r="A445" s="226"/>
      <c r="B445" s="205" t="s">
        <v>337</v>
      </c>
      <c r="C445" s="143"/>
      <c r="D445" s="246" t="s">
        <v>281</v>
      </c>
      <c r="E445" s="412">
        <f>SUM(E446)</f>
        <v>34000</v>
      </c>
      <c r="F445" s="381">
        <f>SUM(F446)</f>
        <v>0</v>
      </c>
      <c r="G445" s="316">
        <f t="shared" si="34"/>
        <v>0</v>
      </c>
      <c r="H445" s="317">
        <f t="shared" si="35"/>
        <v>0</v>
      </c>
    </row>
    <row r="446" spans="1:8" ht="15.75" customHeight="1">
      <c r="A446" s="226" t="s">
        <v>520</v>
      </c>
      <c r="B446" s="205"/>
      <c r="C446" s="143">
        <v>419100</v>
      </c>
      <c r="D446" s="332" t="s">
        <v>281</v>
      </c>
      <c r="E446" s="321">
        <v>34000</v>
      </c>
      <c r="F446" s="309">
        <v>0</v>
      </c>
      <c r="G446" s="309">
        <f t="shared" si="34"/>
        <v>0</v>
      </c>
      <c r="H446" s="310">
        <f t="shared" si="35"/>
        <v>0</v>
      </c>
    </row>
    <row r="447" spans="1:8" ht="12.75" customHeight="1">
      <c r="A447" s="226"/>
      <c r="B447" s="312" t="s">
        <v>447</v>
      </c>
      <c r="C447" s="143"/>
      <c r="D447" s="334" t="s">
        <v>442</v>
      </c>
      <c r="E447" s="358">
        <f>SUM(E448:E449)</f>
        <v>215000</v>
      </c>
      <c r="F447" s="316">
        <f>SUM(F448:F449)</f>
        <v>50000</v>
      </c>
      <c r="G447" s="316">
        <f t="shared" si="34"/>
        <v>23.25581395348837</v>
      </c>
      <c r="H447" s="317">
        <f t="shared" si="35"/>
        <v>0.1483679525222552</v>
      </c>
    </row>
    <row r="448" spans="1:8" ht="25.5" customHeight="1" hidden="1">
      <c r="A448" s="226" t="s">
        <v>520</v>
      </c>
      <c r="B448" s="205"/>
      <c r="C448" s="295">
        <v>511200</v>
      </c>
      <c r="D448" s="332" t="s">
        <v>132</v>
      </c>
      <c r="E448" s="321">
        <v>0</v>
      </c>
      <c r="F448" s="309">
        <v>0</v>
      </c>
      <c r="G448" s="309">
        <f t="shared" si="34"/>
        <v>0</v>
      </c>
      <c r="H448" s="310">
        <f t="shared" si="35"/>
        <v>0</v>
      </c>
    </row>
    <row r="449" spans="1:8" ht="12" customHeight="1">
      <c r="A449" s="226" t="s">
        <v>520</v>
      </c>
      <c r="B449" s="205"/>
      <c r="C449" s="295">
        <v>511300</v>
      </c>
      <c r="D449" s="332" t="s">
        <v>133</v>
      </c>
      <c r="E449" s="321">
        <v>215000</v>
      </c>
      <c r="F449" s="309">
        <v>50000</v>
      </c>
      <c r="G449" s="309">
        <f t="shared" si="34"/>
        <v>23.25581395348837</v>
      </c>
      <c r="H449" s="310">
        <f t="shared" si="35"/>
        <v>0.1483679525222552</v>
      </c>
    </row>
    <row r="450" spans="1:8" ht="6" customHeight="1" hidden="1">
      <c r="A450" s="226"/>
      <c r="B450" s="312" t="s">
        <v>338</v>
      </c>
      <c r="C450" s="206"/>
      <c r="D450" s="334" t="s">
        <v>156</v>
      </c>
      <c r="E450" s="315">
        <f>SUM(E451)</f>
        <v>0</v>
      </c>
      <c r="F450" s="400">
        <f>SUM(F451)</f>
        <v>0</v>
      </c>
      <c r="G450" s="316">
        <f t="shared" si="34"/>
        <v>0</v>
      </c>
      <c r="H450" s="317">
        <f t="shared" si="35"/>
        <v>0</v>
      </c>
    </row>
    <row r="451" spans="1:8" ht="9.75" customHeight="1" hidden="1">
      <c r="A451" s="226" t="s">
        <v>459</v>
      </c>
      <c r="B451" s="205"/>
      <c r="C451" s="206">
        <v>513700</v>
      </c>
      <c r="D451" s="332" t="s">
        <v>449</v>
      </c>
      <c r="E451" s="321">
        <v>0</v>
      </c>
      <c r="F451" s="309">
        <v>0</v>
      </c>
      <c r="G451" s="316">
        <f t="shared" si="34"/>
        <v>0</v>
      </c>
      <c r="H451" s="317">
        <f t="shared" si="35"/>
        <v>0</v>
      </c>
    </row>
    <row r="452" spans="1:8" ht="27.75" customHeight="1">
      <c r="A452" s="226"/>
      <c r="B452" s="312" t="s">
        <v>450</v>
      </c>
      <c r="C452" s="392"/>
      <c r="D452" s="334" t="s">
        <v>443</v>
      </c>
      <c r="E452" s="412">
        <f>SUM(E453:E454)</f>
        <v>333500</v>
      </c>
      <c r="F452" s="381">
        <f>SUM(F453:F454)</f>
        <v>377000</v>
      </c>
      <c r="G452" s="316">
        <f t="shared" si="34"/>
        <v>113.04347826086956</v>
      </c>
      <c r="H452" s="317">
        <f t="shared" si="35"/>
        <v>1.1186943620178043</v>
      </c>
    </row>
    <row r="453" spans="1:8" ht="12.75" customHeight="1">
      <c r="A453" s="226" t="s">
        <v>520</v>
      </c>
      <c r="B453" s="205"/>
      <c r="C453" s="295">
        <v>516100</v>
      </c>
      <c r="D453" s="332" t="s">
        <v>268</v>
      </c>
      <c r="E453" s="321">
        <v>333500</v>
      </c>
      <c r="F453" s="309">
        <v>377000</v>
      </c>
      <c r="G453" s="309">
        <f t="shared" si="34"/>
        <v>113.04347826086956</v>
      </c>
      <c r="H453" s="310">
        <f t="shared" si="35"/>
        <v>1.1186943620178043</v>
      </c>
    </row>
    <row r="454" spans="1:8" ht="15.75" customHeight="1" hidden="1">
      <c r="A454" s="226" t="s">
        <v>459</v>
      </c>
      <c r="B454" s="205"/>
      <c r="C454" s="206">
        <v>516100</v>
      </c>
      <c r="D454" s="332" t="s">
        <v>451</v>
      </c>
      <c r="E454" s="321">
        <v>0</v>
      </c>
      <c r="F454" s="309">
        <v>0</v>
      </c>
      <c r="G454" s="309">
        <f t="shared" si="34"/>
        <v>0</v>
      </c>
      <c r="H454" s="310">
        <f t="shared" si="35"/>
        <v>0</v>
      </c>
    </row>
    <row r="455" spans="1:8" ht="21" customHeight="1" hidden="1">
      <c r="A455" s="226"/>
      <c r="B455" s="312" t="s">
        <v>444</v>
      </c>
      <c r="C455" s="206"/>
      <c r="D455" s="334" t="s">
        <v>238</v>
      </c>
      <c r="E455" s="315">
        <f>SUM(E456)</f>
        <v>0</v>
      </c>
      <c r="F455" s="400">
        <f>SUM(F456)</f>
        <v>0</v>
      </c>
      <c r="G455" s="316">
        <f t="shared" si="34"/>
        <v>0</v>
      </c>
      <c r="H455" s="317">
        <f t="shared" si="35"/>
        <v>0</v>
      </c>
    </row>
    <row r="456" spans="1:8" ht="12.75" customHeight="1" hidden="1">
      <c r="A456" s="226"/>
      <c r="B456" s="205"/>
      <c r="C456" s="206">
        <v>611000</v>
      </c>
      <c r="D456" s="332" t="s">
        <v>238</v>
      </c>
      <c r="E456" s="321">
        <v>0</v>
      </c>
      <c r="F456" s="309">
        <v>0</v>
      </c>
      <c r="G456" s="316">
        <f t="shared" si="34"/>
        <v>0</v>
      </c>
      <c r="H456" s="317">
        <f t="shared" si="35"/>
        <v>0</v>
      </c>
    </row>
    <row r="457" spans="1:8" ht="11.25" customHeight="1" hidden="1">
      <c r="A457" s="226"/>
      <c r="B457" s="335" t="s">
        <v>452</v>
      </c>
      <c r="C457" s="408"/>
      <c r="D457" s="334" t="s">
        <v>134</v>
      </c>
      <c r="E457" s="315">
        <f>SUM(E458:E459)</f>
        <v>0</v>
      </c>
      <c r="F457" s="400">
        <f>SUM(F458:F459)</f>
        <v>0</v>
      </c>
      <c r="G457" s="316">
        <f t="shared" si="34"/>
        <v>0</v>
      </c>
      <c r="H457" s="317">
        <f t="shared" si="35"/>
        <v>0</v>
      </c>
    </row>
    <row r="458" spans="1:8" ht="12.75" customHeight="1" hidden="1">
      <c r="A458" s="226"/>
      <c r="B458" s="205"/>
      <c r="C458" s="206">
        <v>621300</v>
      </c>
      <c r="D458" s="332" t="s">
        <v>456</v>
      </c>
      <c r="E458" s="321">
        <v>0</v>
      </c>
      <c r="F458" s="309">
        <v>0</v>
      </c>
      <c r="G458" s="316">
        <f t="shared" si="34"/>
        <v>0</v>
      </c>
      <c r="H458" s="317">
        <f t="shared" si="35"/>
        <v>0</v>
      </c>
    </row>
    <row r="459" spans="1:8" ht="20.25" customHeight="1" hidden="1">
      <c r="A459" s="226"/>
      <c r="B459" s="205"/>
      <c r="C459" s="206">
        <v>621900</v>
      </c>
      <c r="D459" s="332" t="s">
        <v>267</v>
      </c>
      <c r="E459" s="321">
        <v>0</v>
      </c>
      <c r="F459" s="309">
        <v>0</v>
      </c>
      <c r="G459" s="316">
        <f t="shared" si="34"/>
        <v>0</v>
      </c>
      <c r="H459" s="317">
        <f t="shared" si="35"/>
        <v>0</v>
      </c>
    </row>
    <row r="460" spans="1:8" s="314" customFormat="1" ht="23.25" customHeight="1" hidden="1">
      <c r="A460" s="226"/>
      <c r="B460" s="223" t="s">
        <v>453</v>
      </c>
      <c r="C460" s="408"/>
      <c r="D460" s="334" t="s">
        <v>445</v>
      </c>
      <c r="E460" s="358">
        <f>E461</f>
        <v>0</v>
      </c>
      <c r="F460" s="316">
        <f>F461</f>
        <v>0</v>
      </c>
      <c r="G460" s="316">
        <f t="shared" si="34"/>
        <v>0</v>
      </c>
      <c r="H460" s="317">
        <f t="shared" si="35"/>
        <v>0</v>
      </c>
    </row>
    <row r="461" spans="1:8" s="314" customFormat="1" ht="19.5" customHeight="1" hidden="1">
      <c r="A461" s="226"/>
      <c r="B461" s="205"/>
      <c r="C461" s="206">
        <v>628100</v>
      </c>
      <c r="D461" s="332" t="s">
        <v>457</v>
      </c>
      <c r="E461" s="321">
        <v>0</v>
      </c>
      <c r="F461" s="309">
        <v>0</v>
      </c>
      <c r="G461" s="309">
        <f t="shared" si="34"/>
        <v>0</v>
      </c>
      <c r="H461" s="310">
        <f t="shared" si="35"/>
        <v>0</v>
      </c>
    </row>
    <row r="462" spans="1:8" ht="13.5">
      <c r="A462" s="226"/>
      <c r="B462" s="223" t="s">
        <v>454</v>
      </c>
      <c r="C462" s="408"/>
      <c r="D462" s="334" t="s">
        <v>290</v>
      </c>
      <c r="E462" s="358">
        <f>SUM(E463:E463)</f>
        <v>35500</v>
      </c>
      <c r="F462" s="316">
        <f>SUM(F463:F463)</f>
        <v>44000</v>
      </c>
      <c r="G462" s="316">
        <f t="shared" si="34"/>
        <v>123.94366197183098</v>
      </c>
      <c r="H462" s="317">
        <f t="shared" si="35"/>
        <v>0.13056379821958455</v>
      </c>
    </row>
    <row r="463" spans="1:8" ht="12.75">
      <c r="A463" s="226"/>
      <c r="B463" s="205"/>
      <c r="C463" s="295">
        <v>631100</v>
      </c>
      <c r="D463" s="332" t="s">
        <v>458</v>
      </c>
      <c r="E463" s="321">
        <v>35500</v>
      </c>
      <c r="F463" s="309">
        <v>44000</v>
      </c>
      <c r="G463" s="309">
        <f t="shared" si="34"/>
        <v>123.94366197183098</v>
      </c>
      <c r="H463" s="310">
        <f t="shared" si="35"/>
        <v>0.13056379821958455</v>
      </c>
    </row>
    <row r="464" spans="1:8" ht="25.5">
      <c r="A464" s="226"/>
      <c r="B464" s="223" t="s">
        <v>455</v>
      </c>
      <c r="C464" s="408"/>
      <c r="D464" s="334" t="s">
        <v>595</v>
      </c>
      <c r="E464" s="358">
        <f>SUM(E465)</f>
        <v>102000</v>
      </c>
      <c r="F464" s="316">
        <f>SUM(F465)</f>
        <v>140000</v>
      </c>
      <c r="G464" s="316">
        <f t="shared" si="34"/>
        <v>137.2549019607843</v>
      </c>
      <c r="H464" s="317">
        <f t="shared" si="35"/>
        <v>0.4154302670623145</v>
      </c>
    </row>
    <row r="465" spans="1:8" ht="26.25" customHeight="1">
      <c r="A465" s="226"/>
      <c r="B465" s="205"/>
      <c r="C465" s="411">
        <v>638100</v>
      </c>
      <c r="D465" s="332" t="s">
        <v>296</v>
      </c>
      <c r="E465" s="321">
        <v>102000</v>
      </c>
      <c r="F465" s="309">
        <v>140000</v>
      </c>
      <c r="G465" s="309">
        <f t="shared" si="34"/>
        <v>137.2549019607843</v>
      </c>
      <c r="H465" s="310">
        <f t="shared" si="35"/>
        <v>0.4154302670623145</v>
      </c>
    </row>
    <row r="466" spans="1:8" ht="23.25" customHeight="1">
      <c r="A466" s="226"/>
      <c r="B466" s="205"/>
      <c r="C466" s="481" t="s">
        <v>437</v>
      </c>
      <c r="D466" s="482"/>
      <c r="E466" s="318">
        <f>E427+E432+E441+E443+E445+E447+E450+E452+E455+E457+E460+E462+E464</f>
        <v>6460100</v>
      </c>
      <c r="F466" s="319">
        <f>F427+F432+F441+F443+F445+F447+F450+F452+F455+F457+F460+F462+F464</f>
        <v>6397000</v>
      </c>
      <c r="G466" s="319">
        <f t="shared" si="34"/>
        <v>99.02323493444374</v>
      </c>
      <c r="H466" s="320">
        <f t="shared" si="35"/>
        <v>18.98219584569733</v>
      </c>
    </row>
    <row r="467" spans="1:8" ht="9.75" customHeight="1">
      <c r="A467" s="493"/>
      <c r="B467" s="494"/>
      <c r="C467" s="479" t="s">
        <v>491</v>
      </c>
      <c r="D467" s="480"/>
      <c r="E467" s="135"/>
      <c r="F467" s="135"/>
      <c r="G467" s="135"/>
      <c r="H467" s="136"/>
    </row>
    <row r="468" spans="1:8" ht="9.75" customHeight="1">
      <c r="A468" s="493"/>
      <c r="B468" s="494"/>
      <c r="C468" s="480"/>
      <c r="D468" s="480"/>
      <c r="E468" s="137"/>
      <c r="F468" s="137"/>
      <c r="G468" s="137"/>
      <c r="H468" s="138"/>
    </row>
    <row r="469" spans="1:8" ht="23.25" customHeight="1">
      <c r="A469" s="493"/>
      <c r="B469" s="494"/>
      <c r="C469" s="480"/>
      <c r="D469" s="480"/>
      <c r="E469" s="139"/>
      <c r="F469" s="139"/>
      <c r="G469" s="139"/>
      <c r="H469" s="140"/>
    </row>
    <row r="470" spans="1:8" ht="14.25" customHeight="1">
      <c r="A470" s="106"/>
      <c r="B470" s="35">
        <v>411000</v>
      </c>
      <c r="C470" s="30"/>
      <c r="D470" s="60" t="s">
        <v>297</v>
      </c>
      <c r="E470" s="122">
        <f>SUM(E471)</f>
        <v>22000</v>
      </c>
      <c r="F470" s="122">
        <f>SUM(F471)</f>
        <v>23500</v>
      </c>
      <c r="G470" s="122">
        <f aca="true" t="shared" si="36" ref="G470:G486">IF(E470&gt;0,F470/E470*100,0)</f>
        <v>106.81818181818181</v>
      </c>
      <c r="H470" s="158">
        <f aca="true" t="shared" si="37" ref="H470:H486">F470/$F$608*100</f>
        <v>0.06973293768545993</v>
      </c>
    </row>
    <row r="471" spans="1:8" ht="24.75" customHeight="1">
      <c r="A471" s="106" t="s">
        <v>25</v>
      </c>
      <c r="B471" s="109"/>
      <c r="C471" s="48">
        <v>411200</v>
      </c>
      <c r="D471" s="54" t="s">
        <v>298</v>
      </c>
      <c r="E471" s="129">
        <v>22000</v>
      </c>
      <c r="F471" s="129">
        <v>23500</v>
      </c>
      <c r="G471" s="125">
        <f t="shared" si="36"/>
        <v>106.81818181818181</v>
      </c>
      <c r="H471" s="356">
        <f t="shared" si="37"/>
        <v>0.06973293768545993</v>
      </c>
    </row>
    <row r="472" spans="1:8" ht="14.25" customHeight="1">
      <c r="A472" s="106"/>
      <c r="B472" s="35">
        <v>412000</v>
      </c>
      <c r="C472" s="48"/>
      <c r="D472" s="60" t="s">
        <v>114</v>
      </c>
      <c r="E472" s="160">
        <f>SUM(E473:E481)</f>
        <v>83402</v>
      </c>
      <c r="F472" s="122">
        <f>SUM(F473:F481)</f>
        <v>79200</v>
      </c>
      <c r="G472" s="122">
        <f t="shared" si="36"/>
        <v>94.9617515167502</v>
      </c>
      <c r="H472" s="158">
        <f t="shared" si="37"/>
        <v>0.23501483679525226</v>
      </c>
    </row>
    <row r="473" spans="1:8" ht="24.75" customHeight="1">
      <c r="A473" s="106" t="s">
        <v>25</v>
      </c>
      <c r="B473" s="35"/>
      <c r="C473" s="48">
        <v>412200</v>
      </c>
      <c r="D473" s="70" t="s">
        <v>116</v>
      </c>
      <c r="E473" s="131">
        <v>53300</v>
      </c>
      <c r="F473" s="131">
        <v>57000</v>
      </c>
      <c r="G473" s="125">
        <f t="shared" si="36"/>
        <v>106.94183864915571</v>
      </c>
      <c r="H473" s="356">
        <f t="shared" si="37"/>
        <v>0.16913946587537093</v>
      </c>
    </row>
    <row r="474" spans="1:8" ht="38.25">
      <c r="A474" s="106" t="s">
        <v>25</v>
      </c>
      <c r="B474" s="35"/>
      <c r="C474" s="48">
        <v>412200</v>
      </c>
      <c r="D474" s="70" t="s">
        <v>669</v>
      </c>
      <c r="E474" s="131">
        <v>702</v>
      </c>
      <c r="F474" s="131">
        <v>0</v>
      </c>
      <c r="G474" s="125">
        <f>IF(E474&gt;0,F474/E474*100,0)</f>
        <v>0</v>
      </c>
      <c r="H474" s="356">
        <f t="shared" si="37"/>
        <v>0</v>
      </c>
    </row>
    <row r="475" spans="1:8" ht="12.75">
      <c r="A475" s="106" t="s">
        <v>25</v>
      </c>
      <c r="B475" s="35"/>
      <c r="C475" s="48">
        <v>412300</v>
      </c>
      <c r="D475" s="109" t="s">
        <v>117</v>
      </c>
      <c r="E475" s="129">
        <v>4000</v>
      </c>
      <c r="F475" s="129">
        <v>4000</v>
      </c>
      <c r="G475" s="125">
        <f t="shared" si="36"/>
        <v>100</v>
      </c>
      <c r="H475" s="356">
        <f t="shared" si="37"/>
        <v>0.011869436201780416</v>
      </c>
    </row>
    <row r="476" spans="1:8" ht="12.75">
      <c r="A476" s="106" t="s">
        <v>25</v>
      </c>
      <c r="B476" s="35"/>
      <c r="C476" s="48">
        <v>412400</v>
      </c>
      <c r="D476" s="70" t="s">
        <v>118</v>
      </c>
      <c r="E476" s="129">
        <v>4000</v>
      </c>
      <c r="F476" s="129">
        <v>4000</v>
      </c>
      <c r="G476" s="125">
        <f t="shared" si="36"/>
        <v>100</v>
      </c>
      <c r="H476" s="356">
        <f t="shared" si="37"/>
        <v>0.011869436201780416</v>
      </c>
    </row>
    <row r="477" spans="1:8" ht="12.75">
      <c r="A477" s="106" t="s">
        <v>25</v>
      </c>
      <c r="B477" s="35"/>
      <c r="C477" s="48">
        <v>412500</v>
      </c>
      <c r="D477" s="109" t="s">
        <v>119</v>
      </c>
      <c r="E477" s="129">
        <v>5000</v>
      </c>
      <c r="F477" s="129">
        <v>5000</v>
      </c>
      <c r="G477" s="125">
        <f t="shared" si="36"/>
        <v>100</v>
      </c>
      <c r="H477" s="356">
        <f t="shared" si="37"/>
        <v>0.014836795252225518</v>
      </c>
    </row>
    <row r="478" spans="1:8" ht="12.75">
      <c r="A478" s="106" t="s">
        <v>25</v>
      </c>
      <c r="B478" s="35"/>
      <c r="C478" s="48">
        <v>412600</v>
      </c>
      <c r="D478" s="109" t="s">
        <v>120</v>
      </c>
      <c r="E478" s="129">
        <v>2000</v>
      </c>
      <c r="F478" s="129">
        <v>2000</v>
      </c>
      <c r="G478" s="125">
        <f t="shared" si="36"/>
        <v>100</v>
      </c>
      <c r="H478" s="356">
        <f t="shared" si="37"/>
        <v>0.005934718100890208</v>
      </c>
    </row>
    <row r="479" spans="1:8" ht="12.75">
      <c r="A479" s="106" t="s">
        <v>25</v>
      </c>
      <c r="B479" s="35"/>
      <c r="C479" s="109">
        <v>412700</v>
      </c>
      <c r="D479" s="109" t="s">
        <v>121</v>
      </c>
      <c r="E479" s="129">
        <v>4200</v>
      </c>
      <c r="F479" s="129">
        <v>4200</v>
      </c>
      <c r="G479" s="125">
        <f t="shared" si="36"/>
        <v>100</v>
      </c>
      <c r="H479" s="356">
        <f t="shared" si="37"/>
        <v>0.012462908011869436</v>
      </c>
    </row>
    <row r="480" spans="1:8" ht="15.75" customHeight="1">
      <c r="A480" s="106" t="s">
        <v>25</v>
      </c>
      <c r="B480" s="35"/>
      <c r="C480" s="109">
        <v>412900</v>
      </c>
      <c r="D480" s="109" t="s">
        <v>123</v>
      </c>
      <c r="E480" s="129">
        <v>10200</v>
      </c>
      <c r="F480" s="129">
        <v>3000</v>
      </c>
      <c r="G480" s="125">
        <f t="shared" si="36"/>
        <v>29.411764705882355</v>
      </c>
      <c r="H480" s="356">
        <f t="shared" si="37"/>
        <v>0.008902077151335312</v>
      </c>
    </row>
    <row r="481" spans="1:8" ht="11.25" customHeight="1" hidden="1">
      <c r="A481" s="106" t="s">
        <v>25</v>
      </c>
      <c r="B481" s="35"/>
      <c r="C481" s="109">
        <v>412900</v>
      </c>
      <c r="D481" s="109" t="s">
        <v>523</v>
      </c>
      <c r="E481" s="129">
        <v>0</v>
      </c>
      <c r="F481" s="129"/>
      <c r="G481" s="125">
        <f t="shared" si="36"/>
        <v>0</v>
      </c>
      <c r="H481" s="356">
        <f t="shared" si="37"/>
        <v>0</v>
      </c>
    </row>
    <row r="482" spans="1:8" ht="11.25" customHeight="1">
      <c r="A482" s="106"/>
      <c r="B482" s="35">
        <v>511000</v>
      </c>
      <c r="C482" s="109"/>
      <c r="D482" s="120" t="s">
        <v>130</v>
      </c>
      <c r="E482" s="160">
        <f>SUM(E483:E483)</f>
        <v>2000</v>
      </c>
      <c r="F482" s="122">
        <f>SUM(F483:F483)</f>
        <v>2000</v>
      </c>
      <c r="G482" s="122">
        <f t="shared" si="36"/>
        <v>100</v>
      </c>
      <c r="H482" s="158">
        <f t="shared" si="37"/>
        <v>0.005934718100890208</v>
      </c>
    </row>
    <row r="483" spans="1:8" ht="12.75">
      <c r="A483" s="106" t="s">
        <v>25</v>
      </c>
      <c r="B483" s="109"/>
      <c r="C483" s="109">
        <v>511300</v>
      </c>
      <c r="D483" s="109" t="s">
        <v>2</v>
      </c>
      <c r="E483" s="129">
        <v>2000</v>
      </c>
      <c r="F483" s="129">
        <v>2000</v>
      </c>
      <c r="G483" s="125">
        <f t="shared" si="36"/>
        <v>100</v>
      </c>
      <c r="H483" s="356">
        <f t="shared" si="37"/>
        <v>0.005934718100890208</v>
      </c>
    </row>
    <row r="484" spans="1:8" ht="14.25" customHeight="1">
      <c r="A484" s="113"/>
      <c r="B484" s="35">
        <v>516000</v>
      </c>
      <c r="C484" s="109"/>
      <c r="D484" s="120" t="s">
        <v>268</v>
      </c>
      <c r="E484" s="160">
        <f>SUM(E485)</f>
        <v>600</v>
      </c>
      <c r="F484" s="122">
        <f>SUM(F485)</f>
        <v>600</v>
      </c>
      <c r="G484" s="122">
        <f t="shared" si="36"/>
        <v>100</v>
      </c>
      <c r="H484" s="158">
        <f t="shared" si="37"/>
        <v>0.0017804154302670625</v>
      </c>
    </row>
    <row r="485" spans="1:8" ht="12.75">
      <c r="A485" s="106" t="s">
        <v>25</v>
      </c>
      <c r="B485" s="109"/>
      <c r="C485" s="109">
        <v>516100</v>
      </c>
      <c r="D485" s="70" t="s">
        <v>261</v>
      </c>
      <c r="E485" s="129">
        <v>600</v>
      </c>
      <c r="F485" s="129">
        <v>600</v>
      </c>
      <c r="G485" s="125">
        <f t="shared" si="36"/>
        <v>100</v>
      </c>
      <c r="H485" s="356">
        <f t="shared" si="37"/>
        <v>0.0017804154302670625</v>
      </c>
    </row>
    <row r="486" spans="1:8" ht="24.75" customHeight="1">
      <c r="A486" s="505"/>
      <c r="B486" s="506"/>
      <c r="C486" s="481" t="s">
        <v>84</v>
      </c>
      <c r="D486" s="481"/>
      <c r="E486" s="144">
        <f>E470+E472+E482+E484</f>
        <v>108002</v>
      </c>
      <c r="F486" s="397">
        <f>F470+F472+F482+F484</f>
        <v>105300</v>
      </c>
      <c r="G486" s="340">
        <f t="shared" si="36"/>
        <v>97.49819447788003</v>
      </c>
      <c r="H486" s="320">
        <f t="shared" si="37"/>
        <v>0.31246290801186943</v>
      </c>
    </row>
    <row r="487" spans="1:8" ht="9.75" customHeight="1">
      <c r="A487" s="505"/>
      <c r="B487" s="506"/>
      <c r="C487" s="479" t="s">
        <v>492</v>
      </c>
      <c r="D487" s="480"/>
      <c r="E487" s="174"/>
      <c r="F487" s="174"/>
      <c r="G487" s="174"/>
      <c r="H487" s="175"/>
    </row>
    <row r="488" spans="1:8" ht="32.25" customHeight="1">
      <c r="A488" s="505"/>
      <c r="B488" s="506"/>
      <c r="C488" s="480"/>
      <c r="D488" s="480"/>
      <c r="E488" s="178"/>
      <c r="F488" s="178"/>
      <c r="G488" s="178"/>
      <c r="H488" s="179"/>
    </row>
    <row r="489" spans="1:8" ht="14.25" customHeight="1">
      <c r="A489" s="199"/>
      <c r="B489" s="35">
        <v>411000</v>
      </c>
      <c r="C489" s="30"/>
      <c r="D489" s="60" t="s">
        <v>297</v>
      </c>
      <c r="E489" s="122">
        <f>SUM(E490)</f>
        <v>52000</v>
      </c>
      <c r="F489" s="122">
        <f>SUM(F490)</f>
        <v>67000</v>
      </c>
      <c r="G489" s="122">
        <f aca="true" t="shared" si="38" ref="G489:G513">IF(E489&gt;0,F489/E489*100,0)</f>
        <v>128.84615384615387</v>
      </c>
      <c r="H489" s="158">
        <f aca="true" t="shared" si="39" ref="H489:H513">F489/$F$608*100</f>
        <v>0.19881305637982197</v>
      </c>
    </row>
    <row r="490" spans="1:8" ht="24" customHeight="1">
      <c r="A490" s="106" t="s">
        <v>49</v>
      </c>
      <c r="B490" s="109"/>
      <c r="C490" s="48">
        <v>411200</v>
      </c>
      <c r="D490" s="54" t="s">
        <v>298</v>
      </c>
      <c r="E490" s="129">
        <v>52000</v>
      </c>
      <c r="F490" s="131">
        <v>67000</v>
      </c>
      <c r="G490" s="125">
        <f t="shared" si="38"/>
        <v>128.84615384615387</v>
      </c>
      <c r="H490" s="356">
        <f t="shared" si="39"/>
        <v>0.19881305637982197</v>
      </c>
    </row>
    <row r="491" spans="1:8" ht="14.25" customHeight="1">
      <c r="A491" s="199"/>
      <c r="B491" s="35">
        <v>412000</v>
      </c>
      <c r="C491" s="48"/>
      <c r="D491" s="60" t="s">
        <v>114</v>
      </c>
      <c r="E491" s="160">
        <f>SUM(E492:E503)</f>
        <v>88531.26999999999</v>
      </c>
      <c r="F491" s="122">
        <f>SUM(F492:F503)</f>
        <v>67800</v>
      </c>
      <c r="G491" s="122">
        <f t="shared" si="38"/>
        <v>76.5831101259476</v>
      </c>
      <c r="H491" s="158">
        <f t="shared" si="39"/>
        <v>0.20118694362017803</v>
      </c>
    </row>
    <row r="492" spans="1:8" ht="25.5">
      <c r="A492" s="106" t="s">
        <v>49</v>
      </c>
      <c r="B492" s="35"/>
      <c r="C492" s="48">
        <v>412200</v>
      </c>
      <c r="D492" s="70" t="s">
        <v>116</v>
      </c>
      <c r="E492" s="129">
        <v>22000</v>
      </c>
      <c r="F492" s="129">
        <v>23500</v>
      </c>
      <c r="G492" s="125">
        <f t="shared" si="38"/>
        <v>106.81818181818181</v>
      </c>
      <c r="H492" s="356">
        <f t="shared" si="39"/>
        <v>0.06973293768545993</v>
      </c>
    </row>
    <row r="493" spans="1:8" ht="51">
      <c r="A493" s="106" t="s">
        <v>49</v>
      </c>
      <c r="B493" s="35"/>
      <c r="C493" s="48">
        <v>412200</v>
      </c>
      <c r="D493" s="70" t="s">
        <v>671</v>
      </c>
      <c r="E493" s="129">
        <v>459.84</v>
      </c>
      <c r="F493" s="129">
        <v>0</v>
      </c>
      <c r="G493" s="125">
        <f>IF(E493&gt;0,F493/E493*100,0)</f>
        <v>0</v>
      </c>
      <c r="H493" s="356">
        <f t="shared" si="39"/>
        <v>0</v>
      </c>
    </row>
    <row r="494" spans="1:8" ht="38.25">
      <c r="A494" s="106" t="s">
        <v>25</v>
      </c>
      <c r="B494" s="35"/>
      <c r="C494" s="48">
        <v>412200</v>
      </c>
      <c r="D494" s="70" t="s">
        <v>670</v>
      </c>
      <c r="E494" s="129">
        <v>1404</v>
      </c>
      <c r="F494" s="129">
        <v>0</v>
      </c>
      <c r="G494" s="125">
        <f>IF(E494&gt;0,F494/E494*100,0)</f>
        <v>0</v>
      </c>
      <c r="H494" s="356">
        <f t="shared" si="39"/>
        <v>0</v>
      </c>
    </row>
    <row r="495" spans="1:8" ht="12.75">
      <c r="A495" s="106" t="s">
        <v>49</v>
      </c>
      <c r="B495" s="35"/>
      <c r="C495" s="48">
        <v>412300</v>
      </c>
      <c r="D495" s="109" t="s">
        <v>117</v>
      </c>
      <c r="E495" s="129">
        <v>5500</v>
      </c>
      <c r="F495" s="129">
        <v>4500</v>
      </c>
      <c r="G495" s="125">
        <f t="shared" si="38"/>
        <v>81.81818181818183</v>
      </c>
      <c r="H495" s="356">
        <f t="shared" si="39"/>
        <v>0.013353115727002967</v>
      </c>
    </row>
    <row r="496" spans="1:8" ht="12.75">
      <c r="A496" s="106" t="s">
        <v>49</v>
      </c>
      <c r="B496" s="35"/>
      <c r="C496" s="48">
        <v>412400</v>
      </c>
      <c r="D496" s="70" t="s">
        <v>118</v>
      </c>
      <c r="E496" s="129">
        <v>12000</v>
      </c>
      <c r="F496" s="129">
        <v>13000</v>
      </c>
      <c r="G496" s="125">
        <f t="shared" si="38"/>
        <v>108.33333333333333</v>
      </c>
      <c r="H496" s="356">
        <f t="shared" si="39"/>
        <v>0.03857566765578635</v>
      </c>
    </row>
    <row r="497" spans="1:8" ht="38.25">
      <c r="A497" s="106" t="s">
        <v>49</v>
      </c>
      <c r="B497" s="35"/>
      <c r="C497" s="48">
        <v>412400</v>
      </c>
      <c r="D497" s="70" t="s">
        <v>672</v>
      </c>
      <c r="E497" s="129">
        <v>6234.35</v>
      </c>
      <c r="F497" s="129">
        <v>0</v>
      </c>
      <c r="G497" s="125">
        <f>IF(E497&gt;0,F497/E497*100,0)</f>
        <v>0</v>
      </c>
      <c r="H497" s="356">
        <f t="shared" si="39"/>
        <v>0</v>
      </c>
    </row>
    <row r="498" spans="1:8" ht="12.75">
      <c r="A498" s="106" t="s">
        <v>49</v>
      </c>
      <c r="B498" s="35"/>
      <c r="C498" s="48">
        <v>412500</v>
      </c>
      <c r="D498" s="109" t="s">
        <v>119</v>
      </c>
      <c r="E498" s="129">
        <v>14300</v>
      </c>
      <c r="F498" s="129">
        <v>8000</v>
      </c>
      <c r="G498" s="125">
        <f t="shared" si="38"/>
        <v>55.94405594405595</v>
      </c>
      <c r="H498" s="356">
        <f t="shared" si="39"/>
        <v>0.02373887240356083</v>
      </c>
    </row>
    <row r="499" spans="1:8" ht="38.25">
      <c r="A499" s="106" t="s">
        <v>49</v>
      </c>
      <c r="B499" s="35"/>
      <c r="C499" s="48">
        <v>412500</v>
      </c>
      <c r="D499" s="70" t="s">
        <v>673</v>
      </c>
      <c r="E499" s="129">
        <v>804.58</v>
      </c>
      <c r="F499" s="129">
        <v>0</v>
      </c>
      <c r="G499" s="125">
        <f>IF(E499&gt;0,F499/E499*100,0)</f>
        <v>0</v>
      </c>
      <c r="H499" s="356">
        <f t="shared" si="39"/>
        <v>0</v>
      </c>
    </row>
    <row r="500" spans="1:8" ht="12.75">
      <c r="A500" s="106" t="s">
        <v>49</v>
      </c>
      <c r="B500" s="35"/>
      <c r="C500" s="48">
        <v>412600</v>
      </c>
      <c r="D500" s="109" t="s">
        <v>120</v>
      </c>
      <c r="E500" s="129">
        <v>1600</v>
      </c>
      <c r="F500" s="129">
        <v>1800</v>
      </c>
      <c r="G500" s="125">
        <f t="shared" si="38"/>
        <v>112.5</v>
      </c>
      <c r="H500" s="356">
        <f t="shared" si="39"/>
        <v>0.005341246290801187</v>
      </c>
    </row>
    <row r="501" spans="1:8" ht="12.75">
      <c r="A501" s="106" t="s">
        <v>49</v>
      </c>
      <c r="B501" s="35"/>
      <c r="C501" s="109">
        <v>412700</v>
      </c>
      <c r="D501" s="109" t="s">
        <v>121</v>
      </c>
      <c r="E501" s="131">
        <v>9000</v>
      </c>
      <c r="F501" s="131">
        <v>9000</v>
      </c>
      <c r="G501" s="125">
        <f t="shared" si="38"/>
        <v>100</v>
      </c>
      <c r="H501" s="356">
        <f t="shared" si="39"/>
        <v>0.026706231454005934</v>
      </c>
    </row>
    <row r="502" spans="1:8" ht="12.75">
      <c r="A502" s="106" t="s">
        <v>49</v>
      </c>
      <c r="B502" s="35"/>
      <c r="C502" s="109">
        <v>412900</v>
      </c>
      <c r="D502" s="109" t="s">
        <v>123</v>
      </c>
      <c r="E502" s="129">
        <v>14000</v>
      </c>
      <c r="F502" s="129">
        <v>8000</v>
      </c>
      <c r="G502" s="125">
        <f t="shared" si="38"/>
        <v>57.14285714285714</v>
      </c>
      <c r="H502" s="356">
        <f t="shared" si="39"/>
        <v>0.02373887240356083</v>
      </c>
    </row>
    <row r="503" spans="1:8" ht="12" customHeight="1">
      <c r="A503" s="106" t="s">
        <v>49</v>
      </c>
      <c r="B503" s="35"/>
      <c r="C503" s="109">
        <v>412900</v>
      </c>
      <c r="D503" s="109" t="s">
        <v>522</v>
      </c>
      <c r="E503" s="129">
        <v>1228.5</v>
      </c>
      <c r="F503" s="129">
        <v>0</v>
      </c>
      <c r="G503" s="125">
        <f t="shared" si="38"/>
        <v>0</v>
      </c>
      <c r="H503" s="356">
        <f t="shared" si="39"/>
        <v>0</v>
      </c>
    </row>
    <row r="504" spans="1:8" ht="13.5" customHeight="1">
      <c r="A504" s="106"/>
      <c r="B504" s="35">
        <v>416100</v>
      </c>
      <c r="C504" s="109"/>
      <c r="D504" s="353" t="s">
        <v>527</v>
      </c>
      <c r="E504" s="215">
        <f>E505</f>
        <v>44000</v>
      </c>
      <c r="F504" s="215">
        <f>F505</f>
        <v>15000</v>
      </c>
      <c r="G504" s="215">
        <f t="shared" si="38"/>
        <v>34.090909090909086</v>
      </c>
      <c r="H504" s="368">
        <f t="shared" si="39"/>
        <v>0.044510385756676554</v>
      </c>
    </row>
    <row r="505" spans="1:8" ht="24.75" customHeight="1">
      <c r="A505" s="106" t="s">
        <v>49</v>
      </c>
      <c r="B505" s="35"/>
      <c r="C505" s="109">
        <v>416100</v>
      </c>
      <c r="D505" s="70" t="s">
        <v>528</v>
      </c>
      <c r="E505" s="129">
        <v>44000</v>
      </c>
      <c r="F505" s="129">
        <v>15000</v>
      </c>
      <c r="G505" s="125">
        <f t="shared" si="38"/>
        <v>34.090909090909086</v>
      </c>
      <c r="H505" s="356">
        <f t="shared" si="39"/>
        <v>0.044510385756676554</v>
      </c>
    </row>
    <row r="506" spans="1:8" ht="13.5" customHeight="1" hidden="1">
      <c r="A506" s="106"/>
      <c r="B506" s="35">
        <v>419100</v>
      </c>
      <c r="C506" s="109"/>
      <c r="D506" s="132" t="s">
        <v>321</v>
      </c>
      <c r="E506" s="215"/>
      <c r="F506" s="215"/>
      <c r="G506" s="122">
        <f t="shared" si="38"/>
        <v>0</v>
      </c>
      <c r="H506" s="158">
        <f t="shared" si="39"/>
        <v>0</v>
      </c>
    </row>
    <row r="507" spans="1:8" ht="15" customHeight="1" hidden="1">
      <c r="A507" s="106" t="s">
        <v>49</v>
      </c>
      <c r="B507" s="35"/>
      <c r="C507" s="109">
        <v>419100</v>
      </c>
      <c r="D507" s="109" t="s">
        <v>321</v>
      </c>
      <c r="E507" s="129"/>
      <c r="F507" s="129"/>
      <c r="G507" s="122">
        <f t="shared" si="38"/>
        <v>0</v>
      </c>
      <c r="H507" s="158">
        <f t="shared" si="39"/>
        <v>0</v>
      </c>
    </row>
    <row r="508" spans="1:8" ht="14.25" customHeight="1">
      <c r="A508" s="106"/>
      <c r="B508" s="35">
        <v>511000</v>
      </c>
      <c r="C508" s="48"/>
      <c r="D508" s="120" t="s">
        <v>130</v>
      </c>
      <c r="E508" s="160">
        <f>SUM(E509:E510)</f>
        <v>56000</v>
      </c>
      <c r="F508" s="122">
        <f>SUM(F509:F510)</f>
        <v>8000</v>
      </c>
      <c r="G508" s="122">
        <f t="shared" si="38"/>
        <v>14.285714285714285</v>
      </c>
      <c r="H508" s="158">
        <f t="shared" si="39"/>
        <v>0.02373887240356083</v>
      </c>
    </row>
    <row r="509" spans="1:8" ht="42.75" customHeight="1">
      <c r="A509" s="106" t="s">
        <v>49</v>
      </c>
      <c r="B509" s="35"/>
      <c r="C509" s="48">
        <v>511200</v>
      </c>
      <c r="D509" s="102" t="s">
        <v>674</v>
      </c>
      <c r="E509" s="129">
        <v>50000</v>
      </c>
      <c r="F509" s="129">
        <v>0</v>
      </c>
      <c r="G509" s="125">
        <f t="shared" si="38"/>
        <v>0</v>
      </c>
      <c r="H509" s="356">
        <f t="shared" si="39"/>
        <v>0</v>
      </c>
    </row>
    <row r="510" spans="1:8" ht="15.75" customHeight="1">
      <c r="A510" s="106" t="s">
        <v>49</v>
      </c>
      <c r="B510" s="109"/>
      <c r="C510" s="48">
        <v>511300</v>
      </c>
      <c r="D510" s="109" t="s">
        <v>2</v>
      </c>
      <c r="E510" s="129">
        <v>6000</v>
      </c>
      <c r="F510" s="129">
        <v>8000</v>
      </c>
      <c r="G510" s="125">
        <f t="shared" si="38"/>
        <v>133.33333333333331</v>
      </c>
      <c r="H510" s="356">
        <f t="shared" si="39"/>
        <v>0.02373887240356083</v>
      </c>
    </row>
    <row r="511" spans="1:8" ht="17.25" customHeight="1">
      <c r="A511" s="106"/>
      <c r="B511" s="35">
        <v>516000</v>
      </c>
      <c r="C511" s="48"/>
      <c r="D511" s="120" t="s">
        <v>268</v>
      </c>
      <c r="E511" s="160">
        <f>SUM(E512)</f>
        <v>600</v>
      </c>
      <c r="F511" s="122">
        <f>SUM(F512)</f>
        <v>700</v>
      </c>
      <c r="G511" s="122">
        <f t="shared" si="38"/>
        <v>116.66666666666667</v>
      </c>
      <c r="H511" s="158">
        <f t="shared" si="39"/>
        <v>0.002077151335311573</v>
      </c>
    </row>
    <row r="512" spans="1:8" ht="14.25" customHeight="1">
      <c r="A512" s="106" t="s">
        <v>49</v>
      </c>
      <c r="B512" s="109"/>
      <c r="C512" s="48">
        <v>516100</v>
      </c>
      <c r="D512" s="70" t="s">
        <v>261</v>
      </c>
      <c r="E512" s="129">
        <v>600</v>
      </c>
      <c r="F512" s="129">
        <v>700</v>
      </c>
      <c r="G512" s="125">
        <f t="shared" si="38"/>
        <v>116.66666666666667</v>
      </c>
      <c r="H512" s="356">
        <f t="shared" si="39"/>
        <v>0.002077151335311573</v>
      </c>
    </row>
    <row r="513" spans="1:8" ht="30" customHeight="1">
      <c r="A513" s="505"/>
      <c r="B513" s="506"/>
      <c r="C513" s="481" t="s">
        <v>85</v>
      </c>
      <c r="D513" s="482"/>
      <c r="E513" s="144">
        <f>E489+E491+E504+E508+E506+E511</f>
        <v>241131.27</v>
      </c>
      <c r="F513" s="397">
        <f>F489+F491+F504+F508+F506+F511</f>
        <v>158500</v>
      </c>
      <c r="G513" s="340">
        <f t="shared" si="38"/>
        <v>65.73183146258881</v>
      </c>
      <c r="H513" s="320">
        <f t="shared" si="39"/>
        <v>0.47032640949554894</v>
      </c>
    </row>
    <row r="514" spans="1:8" ht="9.75" customHeight="1">
      <c r="A514" s="513"/>
      <c r="B514" s="514"/>
      <c r="C514" s="479" t="s">
        <v>677</v>
      </c>
      <c r="D514" s="480"/>
      <c r="E514" s="176"/>
      <c r="F514" s="176"/>
      <c r="G514" s="176"/>
      <c r="H514" s="177"/>
    </row>
    <row r="515" spans="1:8" ht="36.75" customHeight="1">
      <c r="A515" s="505"/>
      <c r="B515" s="506"/>
      <c r="C515" s="480"/>
      <c r="D515" s="480"/>
      <c r="E515" s="178"/>
      <c r="F515" s="178"/>
      <c r="G515" s="178"/>
      <c r="H515" s="179"/>
    </row>
    <row r="516" spans="1:8" ht="14.25" customHeight="1">
      <c r="A516" s="106"/>
      <c r="B516" s="35">
        <v>411000</v>
      </c>
      <c r="C516" s="109"/>
      <c r="D516" s="53" t="s">
        <v>297</v>
      </c>
      <c r="E516" s="121">
        <f>SUM(E517:E520)</f>
        <v>259800</v>
      </c>
      <c r="F516" s="122">
        <f>SUM(F517:F520)</f>
        <v>286000</v>
      </c>
      <c r="G516" s="122">
        <f aca="true" t="shared" si="40" ref="G516:G537">IF(E516&gt;0,F516/E516*100,0)</f>
        <v>110.08468052347959</v>
      </c>
      <c r="H516" s="158">
        <f aca="true" t="shared" si="41" ref="H516:H537">F516/$F$608*100</f>
        <v>0.8486646884272997</v>
      </c>
    </row>
    <row r="517" spans="1:8" ht="12.75">
      <c r="A517" s="106" t="s">
        <v>29</v>
      </c>
      <c r="B517" s="109"/>
      <c r="C517" s="48">
        <v>411100</v>
      </c>
      <c r="D517" s="54" t="s">
        <v>293</v>
      </c>
      <c r="E517" s="129">
        <v>197800</v>
      </c>
      <c r="F517" s="129">
        <v>215000</v>
      </c>
      <c r="G517" s="125">
        <f t="shared" si="40"/>
        <v>108.69565217391303</v>
      </c>
      <c r="H517" s="356">
        <f t="shared" si="41"/>
        <v>0.6379821958456974</v>
      </c>
    </row>
    <row r="518" spans="1:8" ht="25.5">
      <c r="A518" s="106" t="s">
        <v>29</v>
      </c>
      <c r="B518" s="109"/>
      <c r="C518" s="48">
        <v>411200</v>
      </c>
      <c r="D518" s="54" t="s">
        <v>298</v>
      </c>
      <c r="E518" s="129">
        <v>55000</v>
      </c>
      <c r="F518" s="129">
        <v>60000</v>
      </c>
      <c r="G518" s="125">
        <f t="shared" si="40"/>
        <v>109.09090909090908</v>
      </c>
      <c r="H518" s="356">
        <f t="shared" si="41"/>
        <v>0.17804154302670622</v>
      </c>
    </row>
    <row r="519" spans="1:8" ht="25.5" customHeight="1">
      <c r="A519" s="106" t="s">
        <v>29</v>
      </c>
      <c r="B519" s="109"/>
      <c r="C519" s="48">
        <v>411300</v>
      </c>
      <c r="D519" s="54" t="s">
        <v>373</v>
      </c>
      <c r="E519" s="129">
        <v>4000</v>
      </c>
      <c r="F519" s="129">
        <v>4000</v>
      </c>
      <c r="G519" s="125">
        <f t="shared" si="40"/>
        <v>100</v>
      </c>
      <c r="H519" s="356">
        <f t="shared" si="41"/>
        <v>0.011869436201780416</v>
      </c>
    </row>
    <row r="520" spans="1:8" ht="12.75">
      <c r="A520" s="106" t="s">
        <v>29</v>
      </c>
      <c r="B520" s="109"/>
      <c r="C520" s="48">
        <v>411400</v>
      </c>
      <c r="D520" s="55" t="s">
        <v>294</v>
      </c>
      <c r="E520" s="129">
        <v>3000</v>
      </c>
      <c r="F520" s="129">
        <v>7000</v>
      </c>
      <c r="G520" s="125">
        <f t="shared" si="40"/>
        <v>233.33333333333334</v>
      </c>
      <c r="H520" s="356">
        <f t="shared" si="41"/>
        <v>0.020771513353115726</v>
      </c>
    </row>
    <row r="521" spans="1:8" ht="14.25" customHeight="1">
      <c r="A521" s="106"/>
      <c r="B521" s="35">
        <v>412000</v>
      </c>
      <c r="C521" s="48"/>
      <c r="D521" s="120" t="s">
        <v>114</v>
      </c>
      <c r="E521" s="160">
        <f>SUM(E522:E529)</f>
        <v>99200</v>
      </c>
      <c r="F521" s="122">
        <f>SUM(F522:F529)</f>
        <v>76500</v>
      </c>
      <c r="G521" s="122">
        <f t="shared" si="40"/>
        <v>77.11693548387096</v>
      </c>
      <c r="H521" s="158">
        <f t="shared" si="41"/>
        <v>0.22700296735905043</v>
      </c>
    </row>
    <row r="522" spans="1:8" ht="14.25" customHeight="1">
      <c r="A522" s="106" t="s">
        <v>29</v>
      </c>
      <c r="B522" s="35"/>
      <c r="C522" s="48">
        <v>412100</v>
      </c>
      <c r="D522" s="70" t="s">
        <v>380</v>
      </c>
      <c r="E522" s="131">
        <v>9000</v>
      </c>
      <c r="F522" s="131">
        <v>7000</v>
      </c>
      <c r="G522" s="125">
        <f t="shared" si="40"/>
        <v>77.77777777777779</v>
      </c>
      <c r="H522" s="356">
        <f t="shared" si="41"/>
        <v>0.020771513353115726</v>
      </c>
    </row>
    <row r="523" spans="1:8" ht="25.5">
      <c r="A523" s="106" t="s">
        <v>29</v>
      </c>
      <c r="B523" s="35"/>
      <c r="C523" s="48">
        <v>412200</v>
      </c>
      <c r="D523" s="70" t="s">
        <v>116</v>
      </c>
      <c r="E523" s="129">
        <v>28000</v>
      </c>
      <c r="F523" s="129">
        <v>25000</v>
      </c>
      <c r="G523" s="125">
        <f t="shared" si="40"/>
        <v>89.28571428571429</v>
      </c>
      <c r="H523" s="356">
        <f t="shared" si="41"/>
        <v>0.0741839762611276</v>
      </c>
    </row>
    <row r="524" spans="1:8" ht="12.75">
      <c r="A524" s="106" t="s">
        <v>29</v>
      </c>
      <c r="B524" s="35"/>
      <c r="C524" s="48">
        <v>412300</v>
      </c>
      <c r="D524" s="109" t="s">
        <v>117</v>
      </c>
      <c r="E524" s="129">
        <v>4000</v>
      </c>
      <c r="F524" s="129">
        <v>3000</v>
      </c>
      <c r="G524" s="125">
        <f t="shared" si="40"/>
        <v>75</v>
      </c>
      <c r="H524" s="356">
        <f t="shared" si="41"/>
        <v>0.008902077151335312</v>
      </c>
    </row>
    <row r="525" spans="1:8" ht="12.75">
      <c r="A525" s="106" t="s">
        <v>29</v>
      </c>
      <c r="B525" s="35"/>
      <c r="C525" s="48">
        <v>412500</v>
      </c>
      <c r="D525" s="109" t="s">
        <v>119</v>
      </c>
      <c r="E525" s="129">
        <v>5000</v>
      </c>
      <c r="F525" s="129">
        <v>6000</v>
      </c>
      <c r="G525" s="125">
        <f t="shared" si="40"/>
        <v>120</v>
      </c>
      <c r="H525" s="356">
        <f t="shared" si="41"/>
        <v>0.017804154302670624</v>
      </c>
    </row>
    <row r="526" spans="1:8" ht="12.75">
      <c r="A526" s="106" t="s">
        <v>29</v>
      </c>
      <c r="B526" s="35"/>
      <c r="C526" s="48">
        <v>412600</v>
      </c>
      <c r="D526" s="109" t="s">
        <v>120</v>
      </c>
      <c r="E526" s="129">
        <v>0</v>
      </c>
      <c r="F526" s="129">
        <v>500</v>
      </c>
      <c r="G526" s="125">
        <f t="shared" si="40"/>
        <v>0</v>
      </c>
      <c r="H526" s="356">
        <f t="shared" si="41"/>
        <v>0.001483679525222552</v>
      </c>
    </row>
    <row r="527" spans="1:8" ht="12.75" customHeight="1">
      <c r="A527" s="106" t="s">
        <v>29</v>
      </c>
      <c r="B527" s="35"/>
      <c r="C527" s="109">
        <v>412700</v>
      </c>
      <c r="D527" s="109" t="s">
        <v>161</v>
      </c>
      <c r="E527" s="131">
        <v>20000</v>
      </c>
      <c r="F527" s="131">
        <v>20000</v>
      </c>
      <c r="G527" s="125">
        <f t="shared" si="40"/>
        <v>100</v>
      </c>
      <c r="H527" s="356">
        <f t="shared" si="41"/>
        <v>0.05934718100890207</v>
      </c>
    </row>
    <row r="528" spans="1:8" ht="14.25" customHeight="1">
      <c r="A528" s="106" t="s">
        <v>29</v>
      </c>
      <c r="B528" s="35"/>
      <c r="C528" s="109">
        <v>412700</v>
      </c>
      <c r="D528" s="70" t="s">
        <v>600</v>
      </c>
      <c r="E528" s="131">
        <v>12000</v>
      </c>
      <c r="F528" s="131">
        <v>8000</v>
      </c>
      <c r="G528" s="125">
        <f t="shared" si="40"/>
        <v>66.66666666666666</v>
      </c>
      <c r="H528" s="356">
        <f t="shared" si="41"/>
        <v>0.02373887240356083</v>
      </c>
    </row>
    <row r="529" spans="1:8" ht="12" customHeight="1">
      <c r="A529" s="106" t="s">
        <v>29</v>
      </c>
      <c r="B529" s="35"/>
      <c r="C529" s="109">
        <v>412900</v>
      </c>
      <c r="D529" s="70" t="s">
        <v>123</v>
      </c>
      <c r="E529" s="292">
        <v>21200</v>
      </c>
      <c r="F529" s="292">
        <v>7000</v>
      </c>
      <c r="G529" s="125">
        <f t="shared" si="40"/>
        <v>33.0188679245283</v>
      </c>
      <c r="H529" s="356">
        <f t="shared" si="41"/>
        <v>0.020771513353115726</v>
      </c>
    </row>
    <row r="530" spans="1:8" ht="11.25" customHeight="1">
      <c r="A530" s="106"/>
      <c r="B530" s="35">
        <v>511000</v>
      </c>
      <c r="C530" s="109"/>
      <c r="D530" s="120" t="s">
        <v>130</v>
      </c>
      <c r="E530" s="160">
        <f>SUM(E531:E532)</f>
        <v>17000</v>
      </c>
      <c r="F530" s="122">
        <f>SUM(F531:F532)</f>
        <v>61800</v>
      </c>
      <c r="G530" s="122">
        <f t="shared" si="40"/>
        <v>363.52941176470586</v>
      </c>
      <c r="H530" s="158">
        <f t="shared" si="41"/>
        <v>0.18338278931750743</v>
      </c>
    </row>
    <row r="531" spans="1:8" ht="15" customHeight="1" hidden="1">
      <c r="A531" s="106" t="s">
        <v>29</v>
      </c>
      <c r="B531" s="109"/>
      <c r="C531" s="48">
        <v>511200</v>
      </c>
      <c r="D531" s="70" t="s">
        <v>140</v>
      </c>
      <c r="E531" s="131"/>
      <c r="F531" s="131"/>
      <c r="G531" s="122">
        <f t="shared" si="40"/>
        <v>0</v>
      </c>
      <c r="H531" s="158">
        <f t="shared" si="41"/>
        <v>0</v>
      </c>
    </row>
    <row r="532" spans="1:8" ht="12" customHeight="1">
      <c r="A532" s="106" t="s">
        <v>29</v>
      </c>
      <c r="B532" s="109"/>
      <c r="C532" s="48">
        <v>511300</v>
      </c>
      <c r="D532" s="70" t="s">
        <v>2</v>
      </c>
      <c r="E532" s="131">
        <v>17000</v>
      </c>
      <c r="F532" s="173">
        <f>9800+52000</f>
        <v>61800</v>
      </c>
      <c r="G532" s="125">
        <f t="shared" si="40"/>
        <v>363.52941176470586</v>
      </c>
      <c r="H532" s="356">
        <f t="shared" si="41"/>
        <v>0.18338278931750743</v>
      </c>
    </row>
    <row r="533" spans="1:8" ht="16.5" customHeight="1">
      <c r="A533" s="106"/>
      <c r="B533" s="35">
        <v>516000</v>
      </c>
      <c r="C533" s="109"/>
      <c r="D533" s="120" t="s">
        <v>268</v>
      </c>
      <c r="E533" s="160">
        <f>SUM(E534:E534)</f>
        <v>50000</v>
      </c>
      <c r="F533" s="122">
        <f>SUM(F534:F534)</f>
        <v>55000</v>
      </c>
      <c r="G533" s="122">
        <f t="shared" si="40"/>
        <v>110.00000000000001</v>
      </c>
      <c r="H533" s="158">
        <f t="shared" si="41"/>
        <v>0.1632047477744807</v>
      </c>
    </row>
    <row r="534" spans="1:8" ht="15.75" customHeight="1">
      <c r="A534" s="106" t="s">
        <v>29</v>
      </c>
      <c r="B534" s="35"/>
      <c r="C534" s="109">
        <v>516100</v>
      </c>
      <c r="D534" s="70" t="s">
        <v>158</v>
      </c>
      <c r="E534" s="125">
        <v>50000</v>
      </c>
      <c r="F534" s="125">
        <v>55000</v>
      </c>
      <c r="G534" s="125">
        <f t="shared" si="40"/>
        <v>110.00000000000001</v>
      </c>
      <c r="H534" s="356">
        <f t="shared" si="41"/>
        <v>0.1632047477744807</v>
      </c>
    </row>
    <row r="535" spans="1:8" ht="12.75">
      <c r="A535" s="106"/>
      <c r="B535" s="35">
        <v>638000</v>
      </c>
      <c r="C535" s="48"/>
      <c r="D535" s="120" t="s">
        <v>295</v>
      </c>
      <c r="E535" s="126">
        <f>SUM(E536)</f>
        <v>2000</v>
      </c>
      <c r="F535" s="122">
        <f>SUM(F536)</f>
        <v>2000</v>
      </c>
      <c r="G535" s="122">
        <f t="shared" si="40"/>
        <v>100</v>
      </c>
      <c r="H535" s="158">
        <f t="shared" si="41"/>
        <v>0.005934718100890208</v>
      </c>
    </row>
    <row r="536" spans="1:8" ht="25.5">
      <c r="A536" s="106"/>
      <c r="B536" s="109"/>
      <c r="C536" s="48">
        <v>638100</v>
      </c>
      <c r="D536" s="70" t="s">
        <v>296</v>
      </c>
      <c r="E536" s="131">
        <v>2000</v>
      </c>
      <c r="F536" s="131">
        <v>2000</v>
      </c>
      <c r="G536" s="125">
        <f t="shared" si="40"/>
        <v>100</v>
      </c>
      <c r="H536" s="356">
        <f t="shared" si="41"/>
        <v>0.005934718100890208</v>
      </c>
    </row>
    <row r="537" spans="1:8" ht="24" customHeight="1">
      <c r="A537" s="493"/>
      <c r="B537" s="494"/>
      <c r="C537" s="481" t="s">
        <v>86</v>
      </c>
      <c r="D537" s="482"/>
      <c r="E537" s="144">
        <f>E516+E521+E530+E533+E535</f>
        <v>428000</v>
      </c>
      <c r="F537" s="397">
        <f>F516+F521+F530+F533+F535</f>
        <v>481300</v>
      </c>
      <c r="G537" s="340">
        <f t="shared" si="40"/>
        <v>112.45327102803739</v>
      </c>
      <c r="H537" s="320">
        <f t="shared" si="41"/>
        <v>1.4281899109792284</v>
      </c>
    </row>
    <row r="538" spans="1:8" ht="44.25" customHeight="1">
      <c r="A538" s="493"/>
      <c r="B538" s="494"/>
      <c r="C538" s="483" t="s">
        <v>493</v>
      </c>
      <c r="D538" s="484"/>
      <c r="E538" s="376"/>
      <c r="F538" s="376"/>
      <c r="G538" s="216"/>
      <c r="H538" s="217"/>
    </row>
    <row r="539" spans="1:8" ht="14.25" customHeight="1">
      <c r="A539" s="106"/>
      <c r="B539" s="35">
        <v>412000</v>
      </c>
      <c r="C539" s="218"/>
      <c r="D539" s="120" t="s">
        <v>114</v>
      </c>
      <c r="E539" s="160">
        <f>SUM(E540:E544)</f>
        <v>10088</v>
      </c>
      <c r="F539" s="160">
        <f>SUM(F540:F544)</f>
        <v>10600</v>
      </c>
      <c r="G539" s="160">
        <f aca="true" t="shared" si="42" ref="G539:G547">IF(E539&gt;0,F539/E539*100,0)</f>
        <v>105.07533703409993</v>
      </c>
      <c r="H539" s="161">
        <f aca="true" t="shared" si="43" ref="H539:H547">F539/$F$608*100</f>
        <v>0.0314540059347181</v>
      </c>
    </row>
    <row r="540" spans="1:8" ht="24" customHeight="1">
      <c r="A540" s="106" t="s">
        <v>29</v>
      </c>
      <c r="B540" s="109"/>
      <c r="C540" s="219">
        <v>412200</v>
      </c>
      <c r="D540" s="70" t="s">
        <v>116</v>
      </c>
      <c r="E540" s="130">
        <v>3168</v>
      </c>
      <c r="F540" s="130">
        <v>3300</v>
      </c>
      <c r="G540" s="171">
        <f t="shared" si="42"/>
        <v>104.16666666666667</v>
      </c>
      <c r="H540" s="159">
        <f t="shared" si="43"/>
        <v>0.009792284866468843</v>
      </c>
    </row>
    <row r="541" spans="1:8" ht="12.75">
      <c r="A541" s="106" t="s">
        <v>29</v>
      </c>
      <c r="B541" s="109"/>
      <c r="C541" s="219">
        <v>412300</v>
      </c>
      <c r="D541" s="109" t="s">
        <v>117</v>
      </c>
      <c r="E541" s="128">
        <v>1728</v>
      </c>
      <c r="F541" s="128">
        <v>1800</v>
      </c>
      <c r="G541" s="171">
        <f t="shared" si="42"/>
        <v>104.16666666666667</v>
      </c>
      <c r="H541" s="159">
        <f t="shared" si="43"/>
        <v>0.005341246290801187</v>
      </c>
    </row>
    <row r="542" spans="1:8" ht="12.75">
      <c r="A542" s="106" t="s">
        <v>29</v>
      </c>
      <c r="B542" s="109"/>
      <c r="C542" s="219">
        <v>412500</v>
      </c>
      <c r="D542" s="109" t="s">
        <v>119</v>
      </c>
      <c r="E542" s="128">
        <v>2292</v>
      </c>
      <c r="F542" s="128">
        <v>2500</v>
      </c>
      <c r="G542" s="171">
        <f t="shared" si="42"/>
        <v>109.07504363001746</v>
      </c>
      <c r="H542" s="159">
        <f t="shared" si="43"/>
        <v>0.007418397626112759</v>
      </c>
    </row>
    <row r="543" spans="1:8" ht="12.75">
      <c r="A543" s="106" t="s">
        <v>29</v>
      </c>
      <c r="B543" s="109"/>
      <c r="C543" s="219">
        <v>412700</v>
      </c>
      <c r="D543" s="109" t="s">
        <v>121</v>
      </c>
      <c r="E543" s="130">
        <v>2000</v>
      </c>
      <c r="F543" s="130">
        <v>2000</v>
      </c>
      <c r="G543" s="171">
        <f t="shared" si="42"/>
        <v>100</v>
      </c>
      <c r="H543" s="159">
        <f t="shared" si="43"/>
        <v>0.005934718100890208</v>
      </c>
    </row>
    <row r="544" spans="1:8" ht="12.75">
      <c r="A544" s="106" t="s">
        <v>29</v>
      </c>
      <c r="B544" s="109"/>
      <c r="C544" s="219">
        <v>412900</v>
      </c>
      <c r="D544" s="109" t="s">
        <v>123</v>
      </c>
      <c r="E544" s="130">
        <v>900</v>
      </c>
      <c r="F544" s="130">
        <v>1000</v>
      </c>
      <c r="G544" s="171">
        <f t="shared" si="42"/>
        <v>111.11111111111111</v>
      </c>
      <c r="H544" s="159">
        <f t="shared" si="43"/>
        <v>0.002967359050445104</v>
      </c>
    </row>
    <row r="545" spans="1:8" ht="12.75">
      <c r="A545" s="106"/>
      <c r="B545" s="35">
        <v>511000</v>
      </c>
      <c r="C545" s="220"/>
      <c r="D545" s="120" t="s">
        <v>130</v>
      </c>
      <c r="E545" s="160">
        <f>SUM(E546:E546)</f>
        <v>2200</v>
      </c>
      <c r="F545" s="160">
        <f>SUM(F546:F546)</f>
        <v>2200</v>
      </c>
      <c r="G545" s="160">
        <f t="shared" si="42"/>
        <v>100</v>
      </c>
      <c r="H545" s="161">
        <f t="shared" si="43"/>
        <v>0.006528189910979229</v>
      </c>
    </row>
    <row r="546" spans="1:8" ht="12.75">
      <c r="A546" s="106" t="s">
        <v>29</v>
      </c>
      <c r="B546" s="109"/>
      <c r="C546" s="219">
        <v>511300</v>
      </c>
      <c r="D546" s="109" t="s">
        <v>2</v>
      </c>
      <c r="E546" s="128">
        <v>2200</v>
      </c>
      <c r="F546" s="128">
        <v>2200</v>
      </c>
      <c r="G546" s="171">
        <f t="shared" si="42"/>
        <v>100</v>
      </c>
      <c r="H546" s="159">
        <f t="shared" si="43"/>
        <v>0.006528189910979229</v>
      </c>
    </row>
    <row r="547" spans="1:8" ht="30" customHeight="1">
      <c r="A547" s="493"/>
      <c r="B547" s="494"/>
      <c r="C547" s="481" t="s">
        <v>248</v>
      </c>
      <c r="D547" s="481"/>
      <c r="E547" s="37">
        <f>E539+E545</f>
        <v>12288</v>
      </c>
      <c r="F547" s="394">
        <f>F539+F545</f>
        <v>12800</v>
      </c>
      <c r="G547" s="341">
        <f t="shared" si="42"/>
        <v>104.16666666666667</v>
      </c>
      <c r="H547" s="364">
        <f t="shared" si="43"/>
        <v>0.03798219584569733</v>
      </c>
    </row>
    <row r="548" spans="1:8" ht="21.75" customHeight="1">
      <c r="A548" s="146"/>
      <c r="B548" s="147"/>
      <c r="C548" s="479" t="s">
        <v>494</v>
      </c>
      <c r="D548" s="480"/>
      <c r="E548" s="221"/>
      <c r="F548" s="221"/>
      <c r="G548" s="148"/>
      <c r="H548" s="212"/>
    </row>
    <row r="549" spans="1:8" ht="21.75" customHeight="1">
      <c r="A549" s="154"/>
      <c r="B549" s="155"/>
      <c r="C549" s="480"/>
      <c r="D549" s="480"/>
      <c r="E549" s="222"/>
      <c r="F549" s="222"/>
      <c r="G549" s="156"/>
      <c r="H549" s="214"/>
    </row>
    <row r="550" spans="1:8" ht="12.75">
      <c r="A550" s="379"/>
      <c r="B550" s="223" t="s">
        <v>327</v>
      </c>
      <c r="C550" s="378"/>
      <c r="D550" s="60" t="s">
        <v>297</v>
      </c>
      <c r="E550" s="122">
        <f>SUM(E551)</f>
        <v>3000</v>
      </c>
      <c r="F550" s="122">
        <f>SUM(F551)</f>
        <v>3000</v>
      </c>
      <c r="G550" s="122">
        <f aca="true" t="shared" si="44" ref="G550:G565">IF(E550&gt;0,F550/E550*100,0)</f>
        <v>100</v>
      </c>
      <c r="H550" s="158">
        <f aca="true" t="shared" si="45" ref="H550:H565">F550/$F$608*100</f>
        <v>0.008902077151335312</v>
      </c>
    </row>
    <row r="551" spans="1:8" ht="25.5">
      <c r="A551" s="224" t="s">
        <v>25</v>
      </c>
      <c r="B551" s="223"/>
      <c r="C551" s="295">
        <v>411200</v>
      </c>
      <c r="D551" s="54" t="s">
        <v>298</v>
      </c>
      <c r="E551" s="129">
        <v>3000</v>
      </c>
      <c r="F551" s="129">
        <v>3000</v>
      </c>
      <c r="G551" s="125">
        <f t="shared" si="44"/>
        <v>100</v>
      </c>
      <c r="H551" s="356">
        <f t="shared" si="45"/>
        <v>0.008902077151335312</v>
      </c>
    </row>
    <row r="552" spans="1:8" ht="12.75">
      <c r="A552" s="224"/>
      <c r="B552" s="223" t="s">
        <v>328</v>
      </c>
      <c r="C552" s="296"/>
      <c r="D552" s="60" t="s">
        <v>114</v>
      </c>
      <c r="E552" s="122">
        <f>SUM(E553:E561)</f>
        <v>7250</v>
      </c>
      <c r="F552" s="122">
        <f>SUM(F553:F561)</f>
        <v>5500</v>
      </c>
      <c r="G552" s="122">
        <f t="shared" si="44"/>
        <v>75.86206896551724</v>
      </c>
      <c r="H552" s="158">
        <f t="shared" si="45"/>
        <v>0.01632047477744807</v>
      </c>
    </row>
    <row r="553" spans="1:8" ht="25.5">
      <c r="A553" s="224" t="s">
        <v>25</v>
      </c>
      <c r="B553" s="223"/>
      <c r="C553" s="295">
        <v>412200</v>
      </c>
      <c r="D553" s="70" t="s">
        <v>116</v>
      </c>
      <c r="E553" s="129">
        <v>3500</v>
      </c>
      <c r="F553" s="129">
        <v>3500</v>
      </c>
      <c r="G553" s="125">
        <f t="shared" si="44"/>
        <v>100</v>
      </c>
      <c r="H553" s="356">
        <f t="shared" si="45"/>
        <v>0.010385756676557863</v>
      </c>
    </row>
    <row r="554" spans="1:8" ht="38.25">
      <c r="A554" s="106" t="s">
        <v>25</v>
      </c>
      <c r="B554" s="35"/>
      <c r="C554" s="48">
        <v>412200</v>
      </c>
      <c r="D554" s="70" t="s">
        <v>669</v>
      </c>
      <c r="E554" s="129">
        <v>600</v>
      </c>
      <c r="F554" s="129">
        <v>0</v>
      </c>
      <c r="G554" s="125">
        <f>IF(E554&gt;0,F554/E554*100,0)</f>
        <v>0</v>
      </c>
      <c r="H554" s="356">
        <f>F554/$F$608*100</f>
        <v>0</v>
      </c>
    </row>
    <row r="555" spans="1:8" ht="12.75">
      <c r="A555" s="224" t="s">
        <v>25</v>
      </c>
      <c r="B555" s="223"/>
      <c r="C555" s="295">
        <v>412300</v>
      </c>
      <c r="D555" s="109" t="s">
        <v>117</v>
      </c>
      <c r="E555" s="129">
        <v>600</v>
      </c>
      <c r="F555" s="129">
        <v>600</v>
      </c>
      <c r="G555" s="125">
        <f t="shared" si="44"/>
        <v>100</v>
      </c>
      <c r="H555" s="356">
        <f t="shared" si="45"/>
        <v>0.0017804154302670625</v>
      </c>
    </row>
    <row r="556" spans="1:8" ht="13.5" customHeight="1">
      <c r="A556" s="224" t="s">
        <v>25</v>
      </c>
      <c r="B556" s="223"/>
      <c r="C556" s="295">
        <v>412400</v>
      </c>
      <c r="D556" s="70" t="s">
        <v>118</v>
      </c>
      <c r="E556" s="129">
        <v>50</v>
      </c>
      <c r="F556" s="129">
        <v>100</v>
      </c>
      <c r="G556" s="125">
        <f t="shared" si="44"/>
        <v>200</v>
      </c>
      <c r="H556" s="356">
        <f t="shared" si="45"/>
        <v>0.0002967359050445104</v>
      </c>
    </row>
    <row r="557" spans="1:8" ht="12.75" customHeight="1" hidden="1">
      <c r="A557" s="224" t="s">
        <v>25</v>
      </c>
      <c r="B557" s="223"/>
      <c r="C557" s="295">
        <v>412600</v>
      </c>
      <c r="D557" s="70" t="s">
        <v>120</v>
      </c>
      <c r="E557" s="129"/>
      <c r="F557" s="129"/>
      <c r="G557" s="125">
        <f t="shared" si="44"/>
        <v>0</v>
      </c>
      <c r="H557" s="356">
        <f t="shared" si="45"/>
        <v>0</v>
      </c>
    </row>
    <row r="558" spans="1:8" ht="12.75" customHeight="1" hidden="1">
      <c r="A558" s="224" t="s">
        <v>25</v>
      </c>
      <c r="B558" s="223"/>
      <c r="C558" s="295">
        <v>412500</v>
      </c>
      <c r="D558" s="70" t="s">
        <v>391</v>
      </c>
      <c r="E558" s="129"/>
      <c r="F558" s="129"/>
      <c r="G558" s="125">
        <f t="shared" si="44"/>
        <v>0</v>
      </c>
      <c r="H558" s="356">
        <f t="shared" si="45"/>
        <v>0</v>
      </c>
    </row>
    <row r="559" spans="1:8" ht="12.75">
      <c r="A559" s="224" t="s">
        <v>25</v>
      </c>
      <c r="B559" s="223"/>
      <c r="C559" s="295">
        <v>412700</v>
      </c>
      <c r="D559" s="109" t="s">
        <v>121</v>
      </c>
      <c r="E559" s="129">
        <v>800</v>
      </c>
      <c r="F559" s="129">
        <v>800</v>
      </c>
      <c r="G559" s="125">
        <f t="shared" si="44"/>
        <v>100</v>
      </c>
      <c r="H559" s="356">
        <f t="shared" si="45"/>
        <v>0.002373887240356083</v>
      </c>
    </row>
    <row r="560" spans="1:8" ht="12.75">
      <c r="A560" s="224" t="s">
        <v>25</v>
      </c>
      <c r="B560" s="223"/>
      <c r="C560" s="295">
        <v>412900</v>
      </c>
      <c r="D560" s="109" t="s">
        <v>123</v>
      </c>
      <c r="E560" s="125">
        <v>950</v>
      </c>
      <c r="F560" s="125">
        <v>500</v>
      </c>
      <c r="G560" s="125">
        <f t="shared" si="44"/>
        <v>52.63157894736842</v>
      </c>
      <c r="H560" s="356">
        <f t="shared" si="45"/>
        <v>0.001483679525222552</v>
      </c>
    </row>
    <row r="561" spans="1:8" ht="12.75">
      <c r="A561" s="224" t="s">
        <v>25</v>
      </c>
      <c r="B561" s="223"/>
      <c r="C561" s="295">
        <v>412900</v>
      </c>
      <c r="D561" s="109" t="s">
        <v>523</v>
      </c>
      <c r="E561" s="125">
        <v>750</v>
      </c>
      <c r="F561" s="125">
        <v>0</v>
      </c>
      <c r="G561" s="125">
        <f t="shared" si="44"/>
        <v>0</v>
      </c>
      <c r="H561" s="356">
        <f t="shared" si="45"/>
        <v>0</v>
      </c>
    </row>
    <row r="562" spans="1:8" ht="14.25" customHeight="1">
      <c r="A562" s="226"/>
      <c r="B562" s="35">
        <v>511000</v>
      </c>
      <c r="C562" s="109"/>
      <c r="D562" s="120" t="s">
        <v>130</v>
      </c>
      <c r="E562" s="122">
        <f>SUM(E563:E564)</f>
        <v>1150</v>
      </c>
      <c r="F562" s="122">
        <f>SUM(F563:F564)</f>
        <v>1500</v>
      </c>
      <c r="G562" s="122">
        <f t="shared" si="44"/>
        <v>130.43478260869566</v>
      </c>
      <c r="H562" s="158">
        <f t="shared" si="45"/>
        <v>0.004451038575667656</v>
      </c>
    </row>
    <row r="563" spans="1:8" ht="12.75" customHeight="1">
      <c r="A563" s="226" t="s">
        <v>25</v>
      </c>
      <c r="B563" s="223"/>
      <c r="C563" s="48">
        <v>511300</v>
      </c>
      <c r="D563" s="109" t="s">
        <v>502</v>
      </c>
      <c r="E563" s="172">
        <v>1150</v>
      </c>
      <c r="F563" s="172">
        <v>1500</v>
      </c>
      <c r="G563" s="125">
        <f t="shared" si="44"/>
        <v>130.43478260869566</v>
      </c>
      <c r="H563" s="356">
        <f t="shared" si="45"/>
        <v>0.004451038575667656</v>
      </c>
    </row>
    <row r="564" spans="1:8" ht="14.25" customHeight="1" hidden="1">
      <c r="A564" s="226" t="s">
        <v>25</v>
      </c>
      <c r="B564" s="223"/>
      <c r="C564" s="48">
        <v>511300</v>
      </c>
      <c r="D564" s="70" t="s">
        <v>426</v>
      </c>
      <c r="E564" s="125">
        <v>0</v>
      </c>
      <c r="F564" s="125">
        <v>0</v>
      </c>
      <c r="G564" s="122">
        <f t="shared" si="44"/>
        <v>0</v>
      </c>
      <c r="H564" s="158">
        <f t="shared" si="45"/>
        <v>0</v>
      </c>
    </row>
    <row r="565" spans="1:8" ht="26.25" customHeight="1">
      <c r="A565" s="515"/>
      <c r="B565" s="516"/>
      <c r="C565" s="481" t="s">
        <v>329</v>
      </c>
      <c r="D565" s="482"/>
      <c r="E565" s="207">
        <f>E550+E552+E562</f>
        <v>11400</v>
      </c>
      <c r="F565" s="134">
        <f>F550+F552+F562</f>
        <v>10000</v>
      </c>
      <c r="G565" s="340">
        <f t="shared" si="44"/>
        <v>87.71929824561403</v>
      </c>
      <c r="H565" s="320">
        <f t="shared" si="45"/>
        <v>0.029673590504451036</v>
      </c>
    </row>
    <row r="566" spans="1:8" ht="19.5" customHeight="1">
      <c r="A566" s="505"/>
      <c r="B566" s="506"/>
      <c r="C566" s="479" t="s">
        <v>495</v>
      </c>
      <c r="D566" s="486"/>
      <c r="E566" s="135"/>
      <c r="F566" s="135"/>
      <c r="G566" s="135"/>
      <c r="H566" s="136"/>
    </row>
    <row r="567" spans="1:8" ht="24.75" customHeight="1">
      <c r="A567" s="505"/>
      <c r="B567" s="506"/>
      <c r="C567" s="486"/>
      <c r="D567" s="486"/>
      <c r="E567" s="139"/>
      <c r="F567" s="139"/>
      <c r="G567" s="139"/>
      <c r="H567" s="140"/>
    </row>
    <row r="568" spans="1:8" ht="14.25" customHeight="1">
      <c r="A568" s="199"/>
      <c r="B568" s="35">
        <v>412000</v>
      </c>
      <c r="C568" s="48"/>
      <c r="D568" s="120" t="s">
        <v>114</v>
      </c>
      <c r="E568" s="122">
        <f>SUM(E569:E569)</f>
        <v>6000</v>
      </c>
      <c r="F568" s="122">
        <f>SUM(F569:F569)</f>
        <v>1000</v>
      </c>
      <c r="G568" s="122">
        <f aca="true" t="shared" si="46" ref="G568:G603">IF(E568&gt;0,F568/E568*100,0)</f>
        <v>16.666666666666664</v>
      </c>
      <c r="H568" s="158">
        <f aca="true" t="shared" si="47" ref="H568:H603">F568/$F$608*100</f>
        <v>0.002967359050445104</v>
      </c>
    </row>
    <row r="569" spans="1:8" ht="25.5" customHeight="1">
      <c r="A569" s="106" t="s">
        <v>21</v>
      </c>
      <c r="B569" s="35"/>
      <c r="C569" s="70">
        <v>412900</v>
      </c>
      <c r="D569" s="75" t="s">
        <v>340</v>
      </c>
      <c r="E569" s="173">
        <v>6000</v>
      </c>
      <c r="F569" s="173">
        <v>1000</v>
      </c>
      <c r="G569" s="125">
        <f t="shared" si="46"/>
        <v>16.666666666666664</v>
      </c>
      <c r="H569" s="356">
        <f t="shared" si="47"/>
        <v>0.002967359050445104</v>
      </c>
    </row>
    <row r="570" spans="1:8" ht="12.75">
      <c r="A570" s="106"/>
      <c r="B570" s="35">
        <v>413000</v>
      </c>
      <c r="C570" s="70"/>
      <c r="D570" s="120" t="s">
        <v>124</v>
      </c>
      <c r="E570" s="160">
        <f>E571+E574</f>
        <v>255000</v>
      </c>
      <c r="F570" s="122">
        <f>F571+F574</f>
        <v>294000</v>
      </c>
      <c r="G570" s="122">
        <f t="shared" si="46"/>
        <v>115.29411764705881</v>
      </c>
      <c r="H570" s="158">
        <f t="shared" si="47"/>
        <v>0.8724035608308605</v>
      </c>
    </row>
    <row r="571" spans="1:8" ht="12.75">
      <c r="A571" s="106"/>
      <c r="B571" s="35"/>
      <c r="C571" s="120"/>
      <c r="D571" s="120" t="s">
        <v>125</v>
      </c>
      <c r="E571" s="186">
        <f>SUM(E572:E573)</f>
        <v>125000</v>
      </c>
      <c r="F571" s="187">
        <f>SUM(F572:F573)</f>
        <v>194000</v>
      </c>
      <c r="G571" s="187">
        <f t="shared" si="46"/>
        <v>155.20000000000002</v>
      </c>
      <c r="H571" s="360">
        <f t="shared" si="47"/>
        <v>0.5756676557863502</v>
      </c>
    </row>
    <row r="572" spans="1:8" ht="12.75" customHeight="1">
      <c r="A572" s="106" t="s">
        <v>52</v>
      </c>
      <c r="B572" s="109"/>
      <c r="C572" s="59">
        <v>413300</v>
      </c>
      <c r="D572" s="70" t="s">
        <v>342</v>
      </c>
      <c r="E572" s="173">
        <v>125000</v>
      </c>
      <c r="F572" s="131">
        <v>94000</v>
      </c>
      <c r="G572" s="125">
        <f t="shared" si="46"/>
        <v>75.2</v>
      </c>
      <c r="H572" s="356">
        <f t="shared" si="47"/>
        <v>0.27893175074183973</v>
      </c>
    </row>
    <row r="573" spans="1:8" ht="14.25" customHeight="1">
      <c r="A573" s="106" t="s">
        <v>52</v>
      </c>
      <c r="B573" s="109"/>
      <c r="C573" s="59">
        <v>413300</v>
      </c>
      <c r="D573" s="70" t="s">
        <v>546</v>
      </c>
      <c r="E573" s="173">
        <v>0</v>
      </c>
      <c r="F573" s="131">
        <v>100000</v>
      </c>
      <c r="G573" s="125">
        <f t="shared" si="46"/>
        <v>0</v>
      </c>
      <c r="H573" s="356">
        <f t="shared" si="47"/>
        <v>0.2967359050445104</v>
      </c>
    </row>
    <row r="574" spans="1:8" ht="12" customHeight="1">
      <c r="A574" s="106"/>
      <c r="B574" s="35"/>
      <c r="C574" s="59"/>
      <c r="D574" s="120" t="s">
        <v>408</v>
      </c>
      <c r="E574" s="228">
        <f>SUM(E575:E576)</f>
        <v>130000</v>
      </c>
      <c r="F574" s="401">
        <f>SUM(F575:F576)</f>
        <v>100000</v>
      </c>
      <c r="G574" s="187">
        <f t="shared" si="46"/>
        <v>76.92307692307693</v>
      </c>
      <c r="H574" s="360">
        <f t="shared" si="47"/>
        <v>0.2967359050445104</v>
      </c>
    </row>
    <row r="575" spans="1:8" ht="14.25" customHeight="1">
      <c r="A575" s="106" t="s">
        <v>52</v>
      </c>
      <c r="B575" s="109"/>
      <c r="C575" s="59">
        <v>413700</v>
      </c>
      <c r="D575" s="299" t="s">
        <v>616</v>
      </c>
      <c r="E575" s="300">
        <v>130000</v>
      </c>
      <c r="F575" s="426">
        <v>100000</v>
      </c>
      <c r="G575" s="125">
        <f t="shared" si="46"/>
        <v>76.92307692307693</v>
      </c>
      <c r="H575" s="356">
        <f t="shared" si="47"/>
        <v>0.2967359050445104</v>
      </c>
    </row>
    <row r="576" spans="1:8" ht="27" customHeight="1" hidden="1">
      <c r="A576" s="106" t="s">
        <v>52</v>
      </c>
      <c r="B576" s="109"/>
      <c r="C576" s="48">
        <v>413700</v>
      </c>
      <c r="D576" s="102" t="s">
        <v>510</v>
      </c>
      <c r="E576" s="173">
        <v>0</v>
      </c>
      <c r="F576" s="173">
        <v>0</v>
      </c>
      <c r="G576" s="125">
        <f t="shared" si="46"/>
        <v>0</v>
      </c>
      <c r="H576" s="356">
        <f t="shared" si="47"/>
        <v>0</v>
      </c>
    </row>
    <row r="577" spans="1:8" ht="24.75" customHeight="1">
      <c r="A577" s="106"/>
      <c r="B577" s="35">
        <v>418000</v>
      </c>
      <c r="C577" s="48"/>
      <c r="D577" s="120" t="s">
        <v>360</v>
      </c>
      <c r="E577" s="122">
        <f>SUM(E578)</f>
        <v>3400</v>
      </c>
      <c r="F577" s="122">
        <f>SUM(F578)</f>
        <v>53000</v>
      </c>
      <c r="G577" s="122">
        <f t="shared" si="46"/>
        <v>1558.8235294117646</v>
      </c>
      <c r="H577" s="158">
        <f t="shared" si="47"/>
        <v>0.1572700296735905</v>
      </c>
    </row>
    <row r="578" spans="1:8" ht="24.75" customHeight="1">
      <c r="A578" s="106"/>
      <c r="B578" s="35"/>
      <c r="C578" s="48"/>
      <c r="D578" s="120" t="s">
        <v>363</v>
      </c>
      <c r="E578" s="186">
        <f>SUM(E579:E580)</f>
        <v>3400</v>
      </c>
      <c r="F578" s="186">
        <f>SUM(F579:F580)</f>
        <v>53000</v>
      </c>
      <c r="G578" s="187">
        <f t="shared" si="46"/>
        <v>1558.8235294117646</v>
      </c>
      <c r="H578" s="360">
        <f t="shared" si="47"/>
        <v>0.1572700296735905</v>
      </c>
    </row>
    <row r="579" spans="1:8" ht="12.75" customHeight="1">
      <c r="A579" s="106" t="s">
        <v>52</v>
      </c>
      <c r="B579" s="109"/>
      <c r="C579" s="48">
        <v>418100</v>
      </c>
      <c r="D579" s="70" t="s">
        <v>617</v>
      </c>
      <c r="E579" s="131">
        <v>3400</v>
      </c>
      <c r="F579" s="131">
        <v>3000</v>
      </c>
      <c r="G579" s="125">
        <f t="shared" si="46"/>
        <v>88.23529411764706</v>
      </c>
      <c r="H579" s="356">
        <f t="shared" si="47"/>
        <v>0.008902077151335312</v>
      </c>
    </row>
    <row r="580" spans="1:8" ht="25.5">
      <c r="A580" s="106" t="s">
        <v>52</v>
      </c>
      <c r="B580" s="109"/>
      <c r="C580" s="48">
        <v>418100</v>
      </c>
      <c r="D580" s="70" t="s">
        <v>622</v>
      </c>
      <c r="E580" s="131">
        <v>0</v>
      </c>
      <c r="F580" s="131">
        <v>50000</v>
      </c>
      <c r="G580" s="125">
        <f>IF(E580&gt;0,F580/E580*100,0)</f>
        <v>0</v>
      </c>
      <c r="H580" s="356">
        <f t="shared" si="47"/>
        <v>0.1483679525222552</v>
      </c>
    </row>
    <row r="581" spans="1:8" ht="15.75" customHeight="1">
      <c r="A581" s="106"/>
      <c r="B581" s="35">
        <v>487000</v>
      </c>
      <c r="C581" s="48"/>
      <c r="D581" s="120" t="s">
        <v>313</v>
      </c>
      <c r="E581" s="160">
        <f>E582+E586</f>
        <v>27000</v>
      </c>
      <c r="F581" s="122">
        <f>F582+F586</f>
        <v>29000</v>
      </c>
      <c r="G581" s="122">
        <f t="shared" si="46"/>
        <v>107.40740740740742</v>
      </c>
      <c r="H581" s="158">
        <f t="shared" si="47"/>
        <v>0.08605341246290801</v>
      </c>
    </row>
    <row r="582" spans="1:8" ht="28.5" customHeight="1">
      <c r="A582" s="106"/>
      <c r="B582" s="35"/>
      <c r="C582" s="48"/>
      <c r="D582" s="74" t="s">
        <v>341</v>
      </c>
      <c r="E582" s="186">
        <f>SUM(E583:E585)</f>
        <v>17000</v>
      </c>
      <c r="F582" s="187">
        <f>SUM(F583:F585)</f>
        <v>23000</v>
      </c>
      <c r="G582" s="187">
        <f t="shared" si="46"/>
        <v>135.29411764705884</v>
      </c>
      <c r="H582" s="360">
        <f t="shared" si="47"/>
        <v>0.0682492581602374</v>
      </c>
    </row>
    <row r="583" spans="1:8" ht="12.75">
      <c r="A583" s="106" t="s">
        <v>32</v>
      </c>
      <c r="B583" s="109"/>
      <c r="C583" s="48">
        <v>487200</v>
      </c>
      <c r="D583" s="70" t="s">
        <v>325</v>
      </c>
      <c r="E583" s="129">
        <v>6000</v>
      </c>
      <c r="F583" s="129">
        <v>10000</v>
      </c>
      <c r="G583" s="125">
        <f t="shared" si="46"/>
        <v>166.66666666666669</v>
      </c>
      <c r="H583" s="356">
        <f t="shared" si="47"/>
        <v>0.029673590504451036</v>
      </c>
    </row>
    <row r="584" spans="1:8" ht="12.75">
      <c r="A584" s="106" t="s">
        <v>32</v>
      </c>
      <c r="B584" s="109"/>
      <c r="C584" s="48">
        <v>487300</v>
      </c>
      <c r="D584" s="70" t="s">
        <v>322</v>
      </c>
      <c r="E584" s="129">
        <v>5000</v>
      </c>
      <c r="F584" s="129">
        <v>10000</v>
      </c>
      <c r="G584" s="125">
        <f t="shared" si="46"/>
        <v>200</v>
      </c>
      <c r="H584" s="356">
        <f t="shared" si="47"/>
        <v>0.029673590504451036</v>
      </c>
    </row>
    <row r="585" spans="1:8" ht="12.75" customHeight="1">
      <c r="A585" s="106" t="s">
        <v>32</v>
      </c>
      <c r="B585" s="109"/>
      <c r="C585" s="48">
        <v>487400</v>
      </c>
      <c r="D585" s="70" t="s">
        <v>300</v>
      </c>
      <c r="E585" s="129">
        <v>6000</v>
      </c>
      <c r="F585" s="129">
        <v>3000</v>
      </c>
      <c r="G585" s="125">
        <f t="shared" si="46"/>
        <v>50</v>
      </c>
      <c r="H585" s="356">
        <f t="shared" si="47"/>
        <v>0.008902077151335312</v>
      </c>
    </row>
    <row r="586" spans="1:8" ht="12.75">
      <c r="A586" s="106"/>
      <c r="B586" s="109"/>
      <c r="C586" s="48"/>
      <c r="D586" s="120" t="s">
        <v>312</v>
      </c>
      <c r="E586" s="187">
        <f>SUM(E587)</f>
        <v>10000</v>
      </c>
      <c r="F586" s="187">
        <f>SUM(F587)</f>
        <v>6000</v>
      </c>
      <c r="G586" s="187">
        <f t="shared" si="46"/>
        <v>60</v>
      </c>
      <c r="H586" s="360">
        <f t="shared" si="47"/>
        <v>0.017804154302670624</v>
      </c>
    </row>
    <row r="587" spans="1:8" ht="24" customHeight="1">
      <c r="A587" s="106" t="s">
        <v>32</v>
      </c>
      <c r="B587" s="109"/>
      <c r="C587" s="48">
        <v>487900</v>
      </c>
      <c r="D587" s="70" t="s">
        <v>359</v>
      </c>
      <c r="E587" s="131">
        <v>10000</v>
      </c>
      <c r="F587" s="131">
        <v>6000</v>
      </c>
      <c r="G587" s="125">
        <f t="shared" si="46"/>
        <v>60</v>
      </c>
      <c r="H587" s="356">
        <f t="shared" si="47"/>
        <v>0.017804154302670624</v>
      </c>
    </row>
    <row r="588" spans="1:8" ht="13.5" customHeight="1">
      <c r="A588" s="106"/>
      <c r="B588" s="72">
        <v>621000</v>
      </c>
      <c r="C588" s="48"/>
      <c r="D588" s="120" t="s">
        <v>134</v>
      </c>
      <c r="E588" s="126">
        <f>E589+E592</f>
        <v>1025000</v>
      </c>
      <c r="F588" s="122">
        <f>F589+F592</f>
        <v>1265000</v>
      </c>
      <c r="G588" s="122">
        <f t="shared" si="46"/>
        <v>123.41463414634146</v>
      </c>
      <c r="H588" s="158">
        <f t="shared" si="47"/>
        <v>3.7537091988130564</v>
      </c>
    </row>
    <row r="589" spans="1:8" ht="12.75">
      <c r="A589" s="106"/>
      <c r="B589" s="72"/>
      <c r="C589" s="48"/>
      <c r="D589" s="120" t="s">
        <v>141</v>
      </c>
      <c r="E589" s="186">
        <f>SUM(E590:E591)</f>
        <v>940000</v>
      </c>
      <c r="F589" s="187">
        <f>SUM(F590:F591)</f>
        <v>1180000</v>
      </c>
      <c r="G589" s="187">
        <f t="shared" si="46"/>
        <v>125.53191489361701</v>
      </c>
      <c r="H589" s="360">
        <f t="shared" si="47"/>
        <v>3.5014836795252227</v>
      </c>
    </row>
    <row r="590" spans="1:8" ht="14.25" customHeight="1">
      <c r="A590" s="106"/>
      <c r="B590" s="35"/>
      <c r="C590" s="78">
        <v>621300</v>
      </c>
      <c r="D590" s="75" t="s">
        <v>343</v>
      </c>
      <c r="E590" s="173">
        <v>940000</v>
      </c>
      <c r="F590" s="173">
        <v>970000</v>
      </c>
      <c r="G590" s="125">
        <f t="shared" si="46"/>
        <v>103.19148936170212</v>
      </c>
      <c r="H590" s="356">
        <f t="shared" si="47"/>
        <v>2.878338278931751</v>
      </c>
    </row>
    <row r="591" spans="1:8" ht="15" customHeight="1">
      <c r="A591" s="106"/>
      <c r="B591" s="35"/>
      <c r="C591" s="78">
        <v>621300</v>
      </c>
      <c r="D591" s="75" t="s">
        <v>547</v>
      </c>
      <c r="E591" s="173">
        <v>0</v>
      </c>
      <c r="F591" s="131">
        <v>210000</v>
      </c>
      <c r="G591" s="125">
        <f t="shared" si="46"/>
        <v>0</v>
      </c>
      <c r="H591" s="356">
        <f t="shared" si="47"/>
        <v>0.6231454005934718</v>
      </c>
    </row>
    <row r="592" spans="1:8" ht="12.75">
      <c r="A592" s="106"/>
      <c r="B592" s="35"/>
      <c r="C592" s="78"/>
      <c r="D592" s="74" t="s">
        <v>267</v>
      </c>
      <c r="E592" s="228">
        <f>E593</f>
        <v>85000</v>
      </c>
      <c r="F592" s="401">
        <f>F593</f>
        <v>85000</v>
      </c>
      <c r="G592" s="187">
        <f t="shared" si="46"/>
        <v>100</v>
      </c>
      <c r="H592" s="360">
        <f t="shared" si="47"/>
        <v>0.2522255192878338</v>
      </c>
    </row>
    <row r="593" spans="1:8" ht="14.25" customHeight="1">
      <c r="A593" s="106"/>
      <c r="B593" s="35"/>
      <c r="C593" s="78">
        <v>621900</v>
      </c>
      <c r="D593" s="75" t="s">
        <v>272</v>
      </c>
      <c r="E593" s="131">
        <v>85000</v>
      </c>
      <c r="F593" s="131">
        <v>85000</v>
      </c>
      <c r="G593" s="125">
        <f t="shared" si="46"/>
        <v>100</v>
      </c>
      <c r="H593" s="356">
        <f t="shared" si="47"/>
        <v>0.2522255192878338</v>
      </c>
    </row>
    <row r="594" spans="1:8" ht="25.5">
      <c r="A594" s="106"/>
      <c r="B594" s="35">
        <v>628000</v>
      </c>
      <c r="C594" s="78"/>
      <c r="D594" s="74" t="s">
        <v>361</v>
      </c>
      <c r="E594" s="126">
        <f>SUM(E595)</f>
        <v>180000</v>
      </c>
      <c r="F594" s="122">
        <f>SUM(F595)</f>
        <v>180000</v>
      </c>
      <c r="G594" s="122">
        <f t="shared" si="46"/>
        <v>100</v>
      </c>
      <c r="H594" s="158">
        <f t="shared" si="47"/>
        <v>0.5341246290801187</v>
      </c>
    </row>
    <row r="595" spans="1:8" ht="25.5">
      <c r="A595" s="106"/>
      <c r="B595" s="35"/>
      <c r="C595" s="78"/>
      <c r="D595" s="74" t="s">
        <v>362</v>
      </c>
      <c r="E595" s="186">
        <f>SUM(E596)</f>
        <v>180000</v>
      </c>
      <c r="F595" s="187">
        <f>SUM(F596)</f>
        <v>180000</v>
      </c>
      <c r="G595" s="187">
        <f t="shared" si="46"/>
        <v>100</v>
      </c>
      <c r="H595" s="360">
        <f t="shared" si="47"/>
        <v>0.5341246290801187</v>
      </c>
    </row>
    <row r="596" spans="1:8" ht="12" customHeight="1">
      <c r="A596" s="106"/>
      <c r="B596" s="35"/>
      <c r="C596" s="78">
        <v>628100</v>
      </c>
      <c r="D596" s="75" t="s">
        <v>323</v>
      </c>
      <c r="E596" s="131">
        <v>180000</v>
      </c>
      <c r="F596" s="131">
        <v>180000</v>
      </c>
      <c r="G596" s="125">
        <f t="shared" si="46"/>
        <v>100</v>
      </c>
      <c r="H596" s="356">
        <f t="shared" si="47"/>
        <v>0.5341246290801187</v>
      </c>
    </row>
    <row r="597" spans="1:8" ht="12.75">
      <c r="A597" s="106"/>
      <c r="B597" s="72">
        <v>631000</v>
      </c>
      <c r="C597" s="78"/>
      <c r="D597" s="120" t="s">
        <v>290</v>
      </c>
      <c r="E597" s="126">
        <f>SUM(E598:E600)</f>
        <v>257600</v>
      </c>
      <c r="F597" s="122">
        <f>SUM(F598:F600)</f>
        <v>82000</v>
      </c>
      <c r="G597" s="122">
        <f t="shared" si="46"/>
        <v>31.832298136645964</v>
      </c>
      <c r="H597" s="158">
        <f t="shared" si="47"/>
        <v>0.24332344213649854</v>
      </c>
    </row>
    <row r="598" spans="1:8" ht="12.75">
      <c r="A598" s="106"/>
      <c r="B598" s="72"/>
      <c r="C598" s="78">
        <v>631300</v>
      </c>
      <c r="D598" s="70" t="s">
        <v>385</v>
      </c>
      <c r="E598" s="131">
        <v>239000</v>
      </c>
      <c r="F598" s="131">
        <v>65000</v>
      </c>
      <c r="G598" s="125">
        <f t="shared" si="46"/>
        <v>27.19665271966527</v>
      </c>
      <c r="H598" s="356">
        <f t="shared" si="47"/>
        <v>0.19287833827893175</v>
      </c>
    </row>
    <row r="599" spans="1:8" ht="12.75" hidden="1">
      <c r="A599" s="106"/>
      <c r="B599" s="72"/>
      <c r="C599" s="78">
        <v>631300</v>
      </c>
      <c r="D599" s="70" t="s">
        <v>524</v>
      </c>
      <c r="E599" s="131">
        <v>0</v>
      </c>
      <c r="F599" s="131"/>
      <c r="G599" s="125">
        <f t="shared" si="46"/>
        <v>0</v>
      </c>
      <c r="H599" s="356">
        <f t="shared" si="47"/>
        <v>0</v>
      </c>
    </row>
    <row r="600" spans="1:8" ht="25.5">
      <c r="A600" s="106"/>
      <c r="B600" s="72"/>
      <c r="C600" s="78">
        <v>631900</v>
      </c>
      <c r="D600" s="70" t="s">
        <v>334</v>
      </c>
      <c r="E600" s="173">
        <v>18600</v>
      </c>
      <c r="F600" s="131">
        <v>17000</v>
      </c>
      <c r="G600" s="125">
        <f t="shared" si="46"/>
        <v>91.39784946236558</v>
      </c>
      <c r="H600" s="356">
        <f t="shared" si="47"/>
        <v>0.050445103857566766</v>
      </c>
    </row>
    <row r="601" spans="1:8" ht="14.25" customHeight="1">
      <c r="A601" s="106"/>
      <c r="B601" s="35">
        <v>638000</v>
      </c>
      <c r="C601" s="78"/>
      <c r="D601" s="74" t="s">
        <v>324</v>
      </c>
      <c r="E601" s="126">
        <f>E602</f>
        <v>28157.09</v>
      </c>
      <c r="F601" s="122">
        <f>F602</f>
        <v>14545</v>
      </c>
      <c r="G601" s="122">
        <f t="shared" si="46"/>
        <v>51.656616504049246</v>
      </c>
      <c r="H601" s="158">
        <f t="shared" si="47"/>
        <v>0.043160237388724036</v>
      </c>
    </row>
    <row r="602" spans="1:8" ht="24.75" customHeight="1">
      <c r="A602" s="106"/>
      <c r="B602" s="35"/>
      <c r="C602" s="78">
        <v>638100</v>
      </c>
      <c r="D602" s="75" t="s">
        <v>333</v>
      </c>
      <c r="E602" s="131">
        <v>28157.09</v>
      </c>
      <c r="F602" s="131">
        <v>14545</v>
      </c>
      <c r="G602" s="125">
        <f t="shared" si="46"/>
        <v>51.656616504049246</v>
      </c>
      <c r="H602" s="356">
        <f t="shared" si="47"/>
        <v>0.043160237388724036</v>
      </c>
    </row>
    <row r="603" spans="1:8" ht="27.75" customHeight="1">
      <c r="A603" s="495"/>
      <c r="B603" s="496"/>
      <c r="C603" s="481" t="s">
        <v>192</v>
      </c>
      <c r="D603" s="481"/>
      <c r="E603" s="144">
        <f>E568+E570+E577+E581+E588+E594+E597+E601</f>
        <v>1782157.09</v>
      </c>
      <c r="F603" s="397">
        <f>F568+F570+F577+F581+F588+F594+F597+F601</f>
        <v>1918545</v>
      </c>
      <c r="G603" s="340">
        <f t="shared" si="46"/>
        <v>107.65296789858184</v>
      </c>
      <c r="H603" s="320">
        <f t="shared" si="47"/>
        <v>5.693011869436202</v>
      </c>
    </row>
    <row r="604" spans="1:8" ht="19.5" customHeight="1">
      <c r="A604" s="493"/>
      <c r="B604" s="494"/>
      <c r="C604" s="479" t="s">
        <v>579</v>
      </c>
      <c r="D604" s="486"/>
      <c r="E604" s="163"/>
      <c r="F604" s="163"/>
      <c r="G604" s="163"/>
      <c r="H604" s="164"/>
    </row>
    <row r="605" spans="1:8" ht="8.25" customHeight="1">
      <c r="A605" s="493"/>
      <c r="B605" s="494"/>
      <c r="C605" s="486"/>
      <c r="D605" s="486"/>
      <c r="E605" s="229"/>
      <c r="F605" s="229"/>
      <c r="G605" s="229"/>
      <c r="H605" s="230"/>
    </row>
    <row r="606" spans="1:8" ht="12.75" customHeight="1">
      <c r="A606" s="493"/>
      <c r="B606" s="494"/>
      <c r="C606" s="231" t="s">
        <v>181</v>
      </c>
      <c r="D606" s="57" t="s">
        <v>91</v>
      </c>
      <c r="E606" s="225">
        <v>30000</v>
      </c>
      <c r="F606" s="129">
        <v>204500</v>
      </c>
      <c r="G606" s="129">
        <f>IF(E606&gt;0,F606/E606*100,0)</f>
        <v>681.6666666666666</v>
      </c>
      <c r="H606" s="232">
        <f>F606/$F$608*100</f>
        <v>0.6068249258160238</v>
      </c>
    </row>
    <row r="607" spans="1:8" ht="25.5" customHeight="1">
      <c r="A607" s="493"/>
      <c r="B607" s="494"/>
      <c r="C607" s="481" t="s">
        <v>167</v>
      </c>
      <c r="D607" s="482"/>
      <c r="E607" s="144">
        <f>E606</f>
        <v>30000</v>
      </c>
      <c r="F607" s="397">
        <f>F606</f>
        <v>204500</v>
      </c>
      <c r="G607" s="134">
        <f>IF(E607&gt;0,F607/E607*100,0)</f>
        <v>681.6666666666666</v>
      </c>
      <c r="H607" s="162">
        <f>F607/$F$608*100</f>
        <v>0.6068249258160238</v>
      </c>
    </row>
    <row r="608" spans="1:8" ht="24" customHeight="1" thickBot="1">
      <c r="A608" s="517" t="s">
        <v>188</v>
      </c>
      <c r="B608" s="518"/>
      <c r="C608" s="519" t="s">
        <v>193</v>
      </c>
      <c r="D608" s="520"/>
      <c r="E608" s="233">
        <f>E21+E41+E60+E73+E89+E107+E174+E187+E254+E287+E299+E317+E329+E350+E398+E425+E466+E486+E513+E537+E547+E565+E603+E607</f>
        <v>31400000</v>
      </c>
      <c r="F608" s="233">
        <f>F21+F41+F60+F73+F89+F107+F174+F187+F254+F287+F299+F317+F329+F350+F398+F425+F466+F486+F513+F537+F547+F565+F603+F607</f>
        <v>33700000</v>
      </c>
      <c r="G608" s="234">
        <f>IF(E608&gt;0,F608/E608*100,0)</f>
        <v>107.32484076433121</v>
      </c>
      <c r="H608" s="235">
        <f>F608/$F$608*100</f>
        <v>100</v>
      </c>
    </row>
    <row r="609" spans="5:7" ht="0.75" customHeight="1" thickTop="1">
      <c r="E609" s="441" t="s">
        <v>683</v>
      </c>
      <c r="F609" s="1">
        <f>'B.pr. i prim. za nef. im.'!E127</f>
        <v>33700000</v>
      </c>
      <c r="G609" s="431"/>
    </row>
    <row r="610" spans="5:7" ht="12.75" hidden="1">
      <c r="E610" s="441" t="s">
        <v>684</v>
      </c>
      <c r="F610" s="1">
        <f>F609-F608</f>
        <v>0</v>
      </c>
      <c r="G610" s="431"/>
    </row>
    <row r="611" spans="4:6" ht="21.75" customHeight="1" hidden="1">
      <c r="D611" s="349" t="s">
        <v>512</v>
      </c>
      <c r="E611" s="350">
        <f>'B.pr. i prim. za nef. im.'!D116+Finansiranje!C6+Finansiranje!C11+Finansiranje!C24+Finansiranje!C38</f>
        <v>31400000</v>
      </c>
      <c r="F611" s="350"/>
    </row>
    <row r="612" spans="4:6" ht="32.25" customHeight="1" hidden="1">
      <c r="D612" s="349" t="s">
        <v>513</v>
      </c>
      <c r="E612" s="350">
        <f>E611-E608</f>
        <v>0</v>
      </c>
      <c r="F612" s="350"/>
    </row>
    <row r="613" spans="5:6" ht="36.75" customHeight="1">
      <c r="E613" s="436"/>
      <c r="F613" s="1"/>
    </row>
    <row r="614" ht="12.75">
      <c r="F614" s="1"/>
    </row>
    <row r="615" ht="12.75">
      <c r="F615" s="1"/>
    </row>
    <row r="616" ht="12.75">
      <c r="F616" s="1"/>
    </row>
    <row r="617" ht="12.75">
      <c r="F617" s="428"/>
    </row>
    <row r="618" spans="5:7" ht="12.75">
      <c r="E618" s="430"/>
      <c r="F618" s="1"/>
      <c r="G618" s="431"/>
    </row>
    <row r="619" spans="6:7" ht="12.75">
      <c r="F619" s="1"/>
      <c r="G619" s="431"/>
    </row>
    <row r="620" spans="6:7" ht="12.75">
      <c r="F620" s="1"/>
      <c r="G620" s="431"/>
    </row>
    <row r="621" spans="6:7" ht="12.75">
      <c r="F621" s="1"/>
      <c r="G621" s="432"/>
    </row>
    <row r="622" ht="12.75">
      <c r="F622" s="1"/>
    </row>
  </sheetData>
  <sheetProtection/>
  <mergeCells count="99">
    <mergeCell ref="A288:B290"/>
    <mergeCell ref="C287:D287"/>
    <mergeCell ref="A330:B332"/>
    <mergeCell ref="A566:B567"/>
    <mergeCell ref="C350:D350"/>
    <mergeCell ref="C330:D332"/>
    <mergeCell ref="A538:B538"/>
    <mergeCell ref="C317:D317"/>
    <mergeCell ref="A467:B469"/>
    <mergeCell ref="A317:B317"/>
    <mergeCell ref="A299:B299"/>
    <mergeCell ref="C351:D353"/>
    <mergeCell ref="A486:B486"/>
    <mergeCell ref="A351:B353"/>
    <mergeCell ref="A604:B605"/>
    <mergeCell ref="C398:D398"/>
    <mergeCell ref="C486:D486"/>
    <mergeCell ref="C603:D603"/>
    <mergeCell ref="A487:B488"/>
    <mergeCell ref="A513:B513"/>
    <mergeCell ref="A608:B608"/>
    <mergeCell ref="A603:B603"/>
    <mergeCell ref="C608:D608"/>
    <mergeCell ref="C566:D567"/>
    <mergeCell ref="A547:B547"/>
    <mergeCell ref="C565:D565"/>
    <mergeCell ref="C537:D537"/>
    <mergeCell ref="C607:D607"/>
    <mergeCell ref="A607:B607"/>
    <mergeCell ref="A537:B537"/>
    <mergeCell ref="C604:D605"/>
    <mergeCell ref="A606:B606"/>
    <mergeCell ref="A565:B565"/>
    <mergeCell ref="C547:D547"/>
    <mergeCell ref="C538:D538"/>
    <mergeCell ref="A514:B515"/>
    <mergeCell ref="C548:D549"/>
    <mergeCell ref="C174:D174"/>
    <mergeCell ref="C255:D258"/>
    <mergeCell ref="C188:D191"/>
    <mergeCell ref="C175:D177"/>
    <mergeCell ref="A175:B177"/>
    <mergeCell ref="C300:D301"/>
    <mergeCell ref="A350:B350"/>
    <mergeCell ref="C288:D290"/>
    <mergeCell ref="A1:H1"/>
    <mergeCell ref="A2:A3"/>
    <mergeCell ref="B2:C2"/>
    <mergeCell ref="D2:D3"/>
    <mergeCell ref="H2:H3"/>
    <mergeCell ref="C5:D7"/>
    <mergeCell ref="F2:F3"/>
    <mergeCell ref="G2:G3"/>
    <mergeCell ref="A5:B7"/>
    <mergeCell ref="E2:E3"/>
    <mergeCell ref="A21:B21"/>
    <mergeCell ref="C254:D254"/>
    <mergeCell ref="C487:D488"/>
    <mergeCell ref="A425:B425"/>
    <mergeCell ref="C329:D329"/>
    <mergeCell ref="C73:D73"/>
    <mergeCell ref="A60:B60"/>
    <mergeCell ref="A287:B287"/>
    <mergeCell ref="A398:B398"/>
    <mergeCell ref="C467:D469"/>
    <mergeCell ref="A254:B254"/>
    <mergeCell ref="A255:B258"/>
    <mergeCell ref="A107:B107"/>
    <mergeCell ref="A188:B191"/>
    <mergeCell ref="A61:B63"/>
    <mergeCell ref="A74:B76"/>
    <mergeCell ref="A90:B92"/>
    <mergeCell ref="A108:B111"/>
    <mergeCell ref="A174:B174"/>
    <mergeCell ref="A22:B24"/>
    <mergeCell ref="A41:B41"/>
    <mergeCell ref="C74:D76"/>
    <mergeCell ref="C61:D63"/>
    <mergeCell ref="A187:B187"/>
    <mergeCell ref="C108:D111"/>
    <mergeCell ref="C89:D89"/>
    <mergeCell ref="A73:B73"/>
    <mergeCell ref="A89:B89"/>
    <mergeCell ref="C21:D21"/>
    <mergeCell ref="C187:D187"/>
    <mergeCell ref="C22:D24"/>
    <mergeCell ref="C299:D299"/>
    <mergeCell ref="C41:D41"/>
    <mergeCell ref="C42:D44"/>
    <mergeCell ref="C514:D515"/>
    <mergeCell ref="C513:D513"/>
    <mergeCell ref="C426:D426"/>
    <mergeCell ref="C60:D60"/>
    <mergeCell ref="C318:D320"/>
    <mergeCell ref="C466:D466"/>
    <mergeCell ref="C399:D401"/>
    <mergeCell ref="C425:D425"/>
    <mergeCell ref="C107:D107"/>
    <mergeCell ref="C90:D92"/>
  </mergeCells>
  <printOptions horizontalCentered="1"/>
  <pageMargins left="0.15748031496062992" right="0.15748031496062992" top="0.35433070866141736" bottom="0.4330708661417323" header="0.31496062992125984" footer="0.2362204724409449"/>
  <pageSetup fitToHeight="12" horizontalDpi="600" verticalDpi="600" orientation="landscape" paperSize="9" r:id="rId1"/>
  <headerFooter alignWithMargins="0">
    <oddFooter>&amp;R&amp;P</oddFooter>
  </headerFooter>
  <rowBreaks count="20" manualBreakCount="20">
    <brk id="39" max="7" man="1"/>
    <brk id="70" max="7" man="1"/>
    <brk id="98" max="7" man="1"/>
    <brk id="132" max="7" man="1"/>
    <brk id="158" max="7" man="1"/>
    <brk id="186" max="7" man="1"/>
    <brk id="211" max="7" man="1"/>
    <brk id="235" max="7" man="1"/>
    <brk id="262" max="7" man="1"/>
    <brk id="293" max="7" man="1"/>
    <brk id="323" max="7" man="1"/>
    <brk id="350" max="7" man="1"/>
    <brk id="380" max="7" man="1"/>
    <brk id="408" max="7" man="1"/>
    <brk id="433" max="7" man="1"/>
    <brk id="473" max="7" man="1"/>
    <brk id="496" max="7" man="1"/>
    <brk id="520" max="7" man="1"/>
    <brk id="547" max="7" man="1"/>
    <brk id="575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B38" sqref="B38"/>
    </sheetView>
  </sheetViews>
  <sheetFormatPr defaultColWidth="9.140625" defaultRowHeight="12.75"/>
  <cols>
    <col min="1" max="1" width="7.28125" style="0" customWidth="1"/>
    <col min="2" max="2" width="54.00390625" style="0" customWidth="1"/>
    <col min="3" max="3" width="19.00390625" style="0" hidden="1" customWidth="1"/>
    <col min="4" max="5" width="17.421875" style="0" customWidth="1"/>
    <col min="6" max="6" width="12.421875" style="0" customWidth="1"/>
    <col min="7" max="7" width="10.8515625" style="0" customWidth="1"/>
    <col min="8" max="8" width="13.7109375" style="0" customWidth="1"/>
    <col min="9" max="9" width="14.140625" style="0" customWidth="1"/>
    <col min="10" max="10" width="13.7109375" style="0" customWidth="1"/>
    <col min="11" max="11" width="13.8515625" style="0" customWidth="1"/>
    <col min="12" max="12" width="14.7109375" style="0" customWidth="1"/>
  </cols>
  <sheetData>
    <row r="1" spans="1:7" ht="43.5" customHeight="1">
      <c r="A1" s="521" t="s">
        <v>596</v>
      </c>
      <c r="B1" s="522"/>
      <c r="C1" s="522"/>
      <c r="D1" s="522"/>
      <c r="E1" s="522"/>
      <c r="F1" s="522"/>
      <c r="G1" s="522"/>
    </row>
    <row r="2" spans="1:7" ht="16.5" customHeight="1" thickBot="1">
      <c r="A2" s="523" t="s">
        <v>349</v>
      </c>
      <c r="B2" s="524"/>
      <c r="C2" s="26"/>
      <c r="D2" s="26"/>
      <c r="E2" s="26"/>
      <c r="F2" s="26"/>
      <c r="G2" s="26"/>
    </row>
    <row r="3" spans="1:7" ht="60" customHeight="1" thickTop="1">
      <c r="A3" s="236" t="s">
        <v>198</v>
      </c>
      <c r="B3" s="249" t="s">
        <v>199</v>
      </c>
      <c r="C3" s="274" t="s">
        <v>403</v>
      </c>
      <c r="D3" s="274" t="s">
        <v>634</v>
      </c>
      <c r="E3" s="274" t="s">
        <v>576</v>
      </c>
      <c r="F3" s="274" t="s">
        <v>105</v>
      </c>
      <c r="G3" s="237" t="s">
        <v>109</v>
      </c>
    </row>
    <row r="4" spans="1:7" ht="15" customHeight="1">
      <c r="A4" s="93">
        <v>1</v>
      </c>
      <c r="B4" s="88">
        <v>2</v>
      </c>
      <c r="C4" s="94"/>
      <c r="D4" s="94" t="s">
        <v>597</v>
      </c>
      <c r="E4" s="94" t="s">
        <v>545</v>
      </c>
      <c r="F4" s="94" t="s">
        <v>542</v>
      </c>
      <c r="G4" s="95">
        <v>6</v>
      </c>
    </row>
    <row r="5" spans="1:7" ht="12.75">
      <c r="A5" s="106" t="s">
        <v>55</v>
      </c>
      <c r="B5" s="109" t="s">
        <v>64</v>
      </c>
      <c r="C5" s="275" t="e">
        <f>SUM(SUMIF(Org!$A$8:Org!$A$606," 0111",Org!#REF!:Org!#REF!),SUMIF(Org!$A$10:Org!$A$606," 0160",Org!#REF!:Org!#REF!),SUMIF(Org!$A$10:Org!$A$606," 0180",Org!#REF!:Org!#REF!),SUMIF(Org!$A$10:Org!$A$606,"0170 ",Org!#REF!:Org!#REF!))-'B.pr. i prim. za nef. im.'!#REF!-'B.pr. i prim. za nef. im.'!#REF!</f>
        <v>#REF!</v>
      </c>
      <c r="D5" s="275">
        <f>SUM(SUMIF(Org!$A$8:Org!$A$606," 0111",Org!E$8:Org!E$606),SUMIF(Org!$A$10:Org!$A$606," 0160",Org!E$10:Org!E$607),SUMIF(Org!$A$10:Org!$A$606," 0180",Org!E$10:Org!E$607),SUMIF(Org!$A$9:Org!$A$606,"0113",Org!E$9:Org!E$606),SUMIF(Org!$A$10:Org!$A$606,"0170 ",Org!E$10:Org!E$606))-'B.pr. i prim. za nef. im.'!D108-'B.pr. i prim. za nef. im.'!D110</f>
        <v>5901210.08</v>
      </c>
      <c r="E5" s="275">
        <f>SUM(SUMIF(Org!$A$8:Org!$A$606," 0111",Org!F$8:Org!F$606),SUMIF(Org!$A$10:Org!$A$606," 0160",Org!F$10:Org!F$607),SUMIF(Org!$A$10:Org!$A$606," 0180",Org!F$10:Org!F$607),SUMIF(Org!$A$9:Org!$A$606,"0113",Org!F$9:Org!F$606),SUMIF(Org!$A$10:Org!$A$606,"0170 ",Org!F$10:Org!F$606))-'B.pr. i prim. za nef. im.'!E108-'B.pr. i prim. za nef. im.'!E110</f>
        <v>6609925</v>
      </c>
      <c r="F5" s="275">
        <f>IF(D5&gt;0,E5/D5*100,0)</f>
        <v>112.0096541284292</v>
      </c>
      <c r="G5" s="244">
        <f>E5/$E$15*100</f>
        <v>21.21356444720306</v>
      </c>
    </row>
    <row r="6" spans="1:7" ht="12.75">
      <c r="A6" s="106" t="s">
        <v>56</v>
      </c>
      <c r="B6" s="276" t="s">
        <v>65</v>
      </c>
      <c r="C6" s="275" t="e">
        <f>SUM(SUMIF(Org!$A$10:Org!$A$607,"02",Org!#REF!:Org!#REF!))</f>
        <v>#REF!</v>
      </c>
      <c r="D6" s="275">
        <f>SUM(SUMIF(Org!$A$10:Org!$A$607,"02",Org!E$10:Org!E$607))</f>
        <v>0</v>
      </c>
      <c r="E6" s="275">
        <f>SUM(SUMIF(Org!$A$10:Org!$A$607,"02",Org!F$10:Org!F$607))</f>
        <v>0</v>
      </c>
      <c r="F6" s="275">
        <f aca="true" t="shared" si="0" ref="F6:F15">IF(D6&gt;0,E6/D6*100,0)</f>
        <v>0</v>
      </c>
      <c r="G6" s="244">
        <f aca="true" t="shared" si="1" ref="G6:G15">E6/$E$15*100</f>
        <v>0</v>
      </c>
    </row>
    <row r="7" spans="1:7" ht="12.75">
      <c r="A7" s="106" t="s">
        <v>57</v>
      </c>
      <c r="B7" s="109" t="s">
        <v>66</v>
      </c>
      <c r="C7" s="275" t="e">
        <f>SUM(SUMIF(Org!$A$10:Org!$A$606," 0320",Org!#REF!:Org!#REF!),SUMIF(Org!$A$10:Org!$A$606,"0350",Org!#REF!:Org!#REF!))</f>
        <v>#REF!</v>
      </c>
      <c r="D7" s="275">
        <f>SUM(SUMIF(Org!$A$10:Org!$A$606," 0320",Org!E$10:Org!E$607),SUMIF(Org!$A$10:Org!$A$606,"0350"))</f>
        <v>464800</v>
      </c>
      <c r="E7" s="275">
        <f>SUM(SUMIF(Org!$A$10:Org!$A$606," 0320",Org!F$10:Org!F$607),SUMIF(Org!$A$10:Org!$A$606,"0350"))</f>
        <v>550730</v>
      </c>
      <c r="F7" s="275">
        <f t="shared" si="0"/>
        <v>118.48752151462996</v>
      </c>
      <c r="G7" s="244">
        <f t="shared" si="1"/>
        <v>1.7674854628468766</v>
      </c>
    </row>
    <row r="8" spans="1:8" ht="12.75">
      <c r="A8" s="106" t="s">
        <v>58</v>
      </c>
      <c r="B8" s="180" t="s">
        <v>67</v>
      </c>
      <c r="C8" s="275" t="e">
        <f>SUM(SUMIF(Org!$A$10:Org!$A$606," 0412",Org!#REF!:Org!#REF!),SUMIF(Org!$A$10:Org!$A$606," 0421",Org!#REF!:Org!#REF!),SUMIF(Org!$A$10:Org!$A$606," 0422",Org!#REF!:Org!#REF!),SUMIF(Org!$A$10:Org!$A$606," 0442",Org!#REF!:Org!#REF!),SUMIF(Org!$A$10:Org!$A$606," 0451",Org!#REF!:Org!#REF!),SUMIF(Org!$A$10:Org!$A$606," 0473",Org!#REF!:Org!#REF!),SUMIF(Org!$A$10:Org!$A$606,"0474 ",Org!#REF!:Org!#REF!),SUMIF(Org!$A$10:Org!$A$606,"0490 ",Org!#REF!:Org!#REF!))</f>
        <v>#REF!</v>
      </c>
      <c r="D8" s="275">
        <f>SUM(SUMIF(Org!$A$10:Org!$A$606," 0412",Org!E$10:Org!E$606),SUMIF(Org!$A$10:Org!$A$606," 0421",Org!E$10:Org!E$606),SUMIF(Org!$A$10:Org!$A$606," 0422",Org!E$10:Org!E$606),SUMIF(Org!$A$10:Org!$A$606," 0442",Org!E$10:Org!E$606),SUMIF(Org!$A$10:Org!$A$606," 0451",Org!E$10:Org!E$607),SUMIF(Org!$A$10:Org!$A$606," 0473",Org!E$10:Org!E$607),SUMIF(Org!$A$10:Org!$A$606,"0474 ",Org!E$10:Org!E$606),SUMIF(Org!$A$10:Org!$A$606,"0490 ",Org!E$10:Org!E$606))</f>
        <v>1305500</v>
      </c>
      <c r="E8" s="275">
        <f>SUM(SUMIF(Org!$A$10:Org!$A$606," 0412",Org!F$10:Org!F$606),SUMIF(Org!$A$10:Org!$A$606," 0421",Org!F$10:Org!F$606),SUMIF(Org!$A$10:Org!$A$606," 0422",Org!F$10:Org!F$606),SUMIF(Org!$A$10:Org!$A$606," 0442",Org!F$10:Org!F$606),SUMIF(Org!$A$10:Org!$A$606," 0451",Org!F$10:Org!F$607),SUMIF(Org!$A$10:Org!$A$606," 0473",Org!F$10:Org!F$607),SUMIF(Org!$A$10:Org!$A$606,"0474 ",Org!F$10:Org!F$606),SUMIF(Org!$A$10:Org!$A$606,"0490 ",Org!F$10:Org!F$606))</f>
        <v>1393500</v>
      </c>
      <c r="F8" s="275">
        <f t="shared" si="0"/>
        <v>106.74071237073919</v>
      </c>
      <c r="G8" s="244">
        <f t="shared" si="1"/>
        <v>4.472229572525779</v>
      </c>
      <c r="H8" s="1"/>
    </row>
    <row r="9" spans="1:7" ht="12.75">
      <c r="A9" s="106" t="s">
        <v>59</v>
      </c>
      <c r="B9" s="180" t="s">
        <v>68</v>
      </c>
      <c r="C9" s="275" t="e">
        <f>SUM(SUMIF(Org!$A$10:Org!$A$606," 0510",Org!#REF!:Org!#REF!))</f>
        <v>#REF!</v>
      </c>
      <c r="D9" s="275">
        <f>SUM(SUMIF(Org!$A$10:Org!$A$606," 0510",Org!E$10:Org!E$606))</f>
        <v>1799</v>
      </c>
      <c r="E9" s="275">
        <f>SUM(SUMIF(Org!$A$10:Org!$A$606," 0510",Org!F$10:Org!F$606))</f>
        <v>0</v>
      </c>
      <c r="F9" s="275">
        <f t="shared" si="0"/>
        <v>0</v>
      </c>
      <c r="G9" s="244">
        <f t="shared" si="1"/>
        <v>0</v>
      </c>
    </row>
    <row r="10" spans="1:7" ht="12.75">
      <c r="A10" s="106" t="s">
        <v>60</v>
      </c>
      <c r="B10" s="180" t="s">
        <v>69</v>
      </c>
      <c r="C10" s="275" t="e">
        <f>SUM(SUMIF(Org!$A$10:Org!$A$606,"0610 ",Org!#REF!:Org!#REF!),SUMIF(Org!$A$10:Org!$A$606,"0630 ",Org!#REF!:Org!#REF!),SUMIF(Org!$A$10:Org!$A$606,"0620",Org!#REF!:Org!#REF!),SUMIF(Org!$A$10:Org!$A$606,"0660",Org!#REF!:Org!#REF!))</f>
        <v>#REF!</v>
      </c>
      <c r="D10" s="275">
        <f>SUM(SUMIF(Org!$A$10:Org!$A$606,"0610 ",Org!E$10:Org!E$606),SUMIF(Org!$A$10:Org!$A$606,"0630 ",Org!E$10:Org!E$606),SUMIF(Org!$A$10:Org!$A$606,"0620",Org!E$10:Org!E$606),SUMIF(Org!$A$10:Org!$A$606,"0660",Org!E$10:Org!E$606))</f>
        <v>5590648.14</v>
      </c>
      <c r="E10" s="275">
        <f>SUM(SUMIF(Org!$A$10:Org!$A$606,"0610 ",Org!F$10:Org!F$606),SUMIF(Org!$A$10:Org!$A$606,"0630 ",Org!F$10:Org!F$606),SUMIF(Org!$A$10:Org!$A$606,"0620",Org!F$10:Org!F$606),SUMIF(Org!$A$10:Org!$A$606,"0660",Org!F$10:Org!F$606))</f>
        <v>5917000</v>
      </c>
      <c r="F10" s="275">
        <f t="shared" si="0"/>
        <v>105.83746019830895</v>
      </c>
      <c r="G10" s="244">
        <f t="shared" si="1"/>
        <v>18.98972542564409</v>
      </c>
    </row>
    <row r="11" spans="1:8" ht="12.75">
      <c r="A11" s="106" t="s">
        <v>61</v>
      </c>
      <c r="B11" s="49" t="s">
        <v>70</v>
      </c>
      <c r="C11" s="275" t="e">
        <f>SUM(SUMIF(Org!$A$10:Org!$A$606,"0740",Org!#REF!:Org!#REF!),SUMIF(Org!$A$10:Org!$A$606,"0720",Org!#REF!:Org!#REF!),SUMIF(Org!$A$10:Org!$A$606,"0734",Org!#REF!:Org!#REF!))</f>
        <v>#REF!</v>
      </c>
      <c r="D11" s="275">
        <f>SUM(SUMIF(Org!$A$10:Org!$A$606,"0740",Org!E$10:Org!E$606),SUMIF(Org!$A$10:Org!$A$606,"0721",Org!E$10:Org!E$606),SUMIF(Org!$A$10:Org!$A$606,"0734",Org!E$10:Org!E$606))</f>
        <v>6373200</v>
      </c>
      <c r="E11" s="275">
        <f>SUM(SUMIF(Org!$A$10:Org!$A$606,"0740",Org!F$10:Org!F$606),SUMIF(Org!$A$10:Org!$A$606,"0721",Org!F$10:Org!F$606),SUMIF(Org!$A$10:Org!$A$606,"0734",Org!F$10:Org!F$606))</f>
        <v>6272400</v>
      </c>
      <c r="F11" s="275">
        <f t="shared" si="0"/>
        <v>98.41837695349275</v>
      </c>
      <c r="G11" s="244">
        <f t="shared" si="1"/>
        <v>20.130328504277504</v>
      </c>
      <c r="H11" s="1"/>
    </row>
    <row r="12" spans="1:7" ht="12.75">
      <c r="A12" s="106" t="s">
        <v>62</v>
      </c>
      <c r="B12" s="49" t="s">
        <v>71</v>
      </c>
      <c r="C12" s="275" t="e">
        <f>SUM(SUMIF(Org!$A$10:Org!$A$606,"0810",Org!#REF!),SUMIF(Org!$A$10:Org!$A$607,"0820",Org!#REF!:Org!#REF!),SUMIF(Org!$A$10:Org!$A$607,"0830",Org!#REF!:Org!#REF!),SUMIF(Org!$A$10:Org!$A$606,"0840",Org!#REF!:Org!#REF!),SUMIF(Org!$A$10:Org!$A$606,"0860",Org!#REF!:Org!#REF!))-'B.pr. i prim. za nef. im.'!#REF!</f>
        <v>#REF!</v>
      </c>
      <c r="D12" s="275">
        <f>SUM(SUMIF(Org!$A$10:Org!$A$606,"0810",Org!E$10:E$607),SUMIF(Org!$A$10:Org!$A$607,"0820",Org!E$10:Org!E$607),SUMIF(Org!$A$10:Org!$A$607,"0830",Org!E$10:Org!E$607),SUMIF(Org!$A$10:Org!$A$606,"0840",Org!E$10:Org!E$607),SUMIF(Org!$A$10:Org!$A$606,"0860",Org!E$10:Org!E$607))-'B.pr. i prim. za nef. im.'!D115-'B.pr. i prim. za nef. im.'!D113</f>
        <v>1509247.06</v>
      </c>
      <c r="E12" s="275">
        <f>SUM(SUMIF(Org!$A$10:Org!$A$606,"0810",Org!F$10:F$607),SUMIF(Org!$A$10:Org!$A$607,"0820",Org!F$10:Org!F$607),SUMIF(Org!$A$10:Org!$A$607,"0830",Org!F$10:Org!F$607),SUMIF(Org!$A$10:Org!$A$606,"0840",Org!F$10:Org!F$607),SUMIF(Org!$A$10:Org!$A$606,"0860",Org!F$10:Org!F$607))-'B.pr. i prim. za nef. im.'!E115-'B.pr. i prim. za nef. im.'!E113</f>
        <v>2776600</v>
      </c>
      <c r="F12" s="275">
        <f t="shared" si="0"/>
        <v>183.97252998458714</v>
      </c>
      <c r="G12" s="244">
        <f t="shared" si="1"/>
        <v>8.911081902457898</v>
      </c>
    </row>
    <row r="13" spans="1:7" ht="12.75">
      <c r="A13" s="106" t="s">
        <v>63</v>
      </c>
      <c r="B13" s="180" t="s">
        <v>72</v>
      </c>
      <c r="C13" s="275" t="e">
        <f>SUM(SUMIF(Org!$A$10:Org!$A$606,"0912",Org!#REF!:Org!#REF!),SUMIF(Org!$A$10:Org!$A$606,"0911",Org!#REF!:Org!#REF!),SUMIF(Org!$A$10:Org!$A$606,"0941",Org!#REF!:Org!#REF!),SUMIF(Org!$A$10:Org!$A$606,"0942",Org!#REF!:Org!#REF!),SUMIF(Org!$A$10:Org!$A$606,"0922",Org!#REF!:Org!#REF!),SUMIF(Org!$A$10:Org!$A$606,"0921",Org!#REF!:Org!#REF!))</f>
        <v>#REF!</v>
      </c>
      <c r="D13" s="275">
        <f>SUM(SUMIF(Org!$A$10:Org!$A$606,"0912",Org!E$10:Org!E$607),SUMIF(Org!$A$10:Org!$A$606,"0911",Org!E$10:Org!E$607),SUMIF(Org!$A$10:Org!$A$606,"0941",Org!E$10:Org!E$607),SUMIF(Org!$A$10:Org!$A$606,"0942",Org!E$10:Org!E$607),SUMIF(Org!$A$10:Org!$A$606,"0922",Org!E$10:Org!E$607),SUMIF(Org!$A$10:Org!$A$606,"0921",Org!E$10:Org!E$607))</f>
        <v>2203000.17</v>
      </c>
      <c r="E13" s="275">
        <f>SUM(SUMIF(Org!$A$10:Org!$A$606,"0912",Org!F$10:Org!F$607),SUMIF(Org!$A$10:Org!$A$606,"0911",Org!F$10:Org!F$607),SUMIF(Org!$A$10:Org!$A$606,"0941",Org!F$10:Org!F$607),SUMIF(Org!$A$10:Org!$A$606,"0942",Org!F$10:Org!F$607),SUMIF(Org!$A$10:Org!$A$606,"0922",Org!F$10:Org!F$607),SUMIF(Org!$A$10:Org!$A$606,"0921",Org!F$10:Org!F$607))</f>
        <v>2168300</v>
      </c>
      <c r="F13" s="275">
        <f t="shared" si="0"/>
        <v>98.42486757502157</v>
      </c>
      <c r="G13" s="244">
        <f t="shared" si="1"/>
        <v>6.958834145753605</v>
      </c>
    </row>
    <row r="14" spans="1:8" ht="12.75">
      <c r="A14" s="247">
        <v>10</v>
      </c>
      <c r="B14" s="180" t="s">
        <v>73</v>
      </c>
      <c r="C14" s="275" t="e">
        <f>SUM(SUMIF(Org!$A$10:Org!$A$607,"1011",Org!#REF!:Org!#REF!),SUMIF(Org!$A$10:Org!$A$607,"1020",Org!#REF!:Org!#REF!),SUMIF(Org!$A$10:Org!$A$607,"1090",Org!#REF!:Org!#REF!),SUMIF(Org!$A$10:Org!$A$607,"1040",Org!#REF!:Org!#REF!))</f>
        <v>#REF!</v>
      </c>
      <c r="D14" s="275">
        <f>SUM(SUMIF(Org!$A$10:Org!$A$607,"1011",Org!E$10:Org!E$607),SUMIF(Org!$A$10:Org!$A$607,"1020",Org!E$10:Org!E$607),SUMIF(Org!$A$10:Org!$A$607,"1090",Org!E$10:Org!E$607),SUMIF(Org!$A$9:Org!$A$607,"1070",Org!E$9:Org!E$607),SUMIF(Org!$A$10:Org!$A$607,"1040",Org!E$10:Org!E$607))</f>
        <v>5434673.23</v>
      </c>
      <c r="E14" s="275">
        <f>SUM(SUMIF(Org!$A$10:Org!$A$607,"1011",Org!F$10:Org!F$607),SUMIF(Org!$A$10:Org!$A$607,"1020",Org!F$10:Org!F$607),SUMIF(Org!$A$10:Org!$A$607,"1090",Org!F$10:Org!F$607),SUMIF(Org!$A$9:Org!$A$607,"1070",Org!F$9:Org!F$607),SUMIF(Org!$A$10:Org!$A$607,"1040",Org!F$10:Org!F$607))</f>
        <v>5470500</v>
      </c>
      <c r="F14" s="275">
        <f t="shared" si="0"/>
        <v>100.65922583536819</v>
      </c>
      <c r="G14" s="244">
        <f t="shared" si="1"/>
        <v>17.556750539291194</v>
      </c>
      <c r="H14" s="1"/>
    </row>
    <row r="15" spans="1:8" ht="22.5" customHeight="1" thickBot="1">
      <c r="A15" s="277"/>
      <c r="B15" s="278" t="s">
        <v>307</v>
      </c>
      <c r="C15" s="279" t="e">
        <f>SUM(C5:C14)</f>
        <v>#REF!</v>
      </c>
      <c r="D15" s="279">
        <f>SUM(D5:D14)</f>
        <v>28784077.679999996</v>
      </c>
      <c r="E15" s="279">
        <f>SUM(E5:E14)</f>
        <v>31158955</v>
      </c>
      <c r="F15" s="348">
        <f t="shared" si="0"/>
        <v>108.2506632534908</v>
      </c>
      <c r="G15" s="280">
        <f t="shared" si="1"/>
        <v>100</v>
      </c>
      <c r="H15" s="1"/>
    </row>
    <row r="16" spans="3:7" ht="13.5" thickTop="1">
      <c r="C16" s="1"/>
      <c r="D16" s="1"/>
      <c r="E16" s="1"/>
      <c r="F16" s="1"/>
      <c r="G16" s="1"/>
    </row>
    <row r="17" spans="1:2" ht="17.25" customHeight="1" thickBot="1">
      <c r="A17" s="525" t="s">
        <v>355</v>
      </c>
      <c r="B17" s="525"/>
    </row>
    <row r="18" spans="1:7" ht="67.5" customHeight="1" thickTop="1">
      <c r="A18" s="281" t="s">
        <v>198</v>
      </c>
      <c r="B18" s="268" t="s">
        <v>350</v>
      </c>
      <c r="C18" s="274" t="s">
        <v>403</v>
      </c>
      <c r="D18" s="274" t="s">
        <v>633</v>
      </c>
      <c r="E18" s="274" t="s">
        <v>576</v>
      </c>
      <c r="F18" s="274" t="s">
        <v>105</v>
      </c>
      <c r="G18" s="237" t="s">
        <v>109</v>
      </c>
    </row>
    <row r="19" spans="1:7" ht="14.25" customHeight="1" thickBot="1">
      <c r="A19" s="93">
        <v>1</v>
      </c>
      <c r="B19" s="88">
        <v>2</v>
      </c>
      <c r="C19" s="94"/>
      <c r="D19" s="94" t="s">
        <v>597</v>
      </c>
      <c r="E19" s="94" t="s">
        <v>545</v>
      </c>
      <c r="F19" s="94" t="s">
        <v>542</v>
      </c>
      <c r="G19" s="95">
        <v>6</v>
      </c>
    </row>
    <row r="20" spans="1:7" ht="12.75">
      <c r="A20" s="282" t="s">
        <v>351</v>
      </c>
      <c r="B20" s="283" t="s">
        <v>352</v>
      </c>
      <c r="C20" s="284" t="e">
        <f>C15-C21</f>
        <v>#REF!</v>
      </c>
      <c r="D20" s="284">
        <f>D15-D21</f>
        <v>18887818.589999996</v>
      </c>
      <c r="E20" s="284">
        <f>E15-E21</f>
        <v>20145155</v>
      </c>
      <c r="F20" s="355">
        <f>E20/D20*100</f>
        <v>106.65686407357644</v>
      </c>
      <c r="G20" s="285">
        <f>E20/$E$22*100</f>
        <v>64.65285822326197</v>
      </c>
    </row>
    <row r="21" spans="1:8" ht="13.5" thickBot="1">
      <c r="A21" s="286" t="s">
        <v>353</v>
      </c>
      <c r="B21" s="287" t="s">
        <v>354</v>
      </c>
      <c r="C21" s="248" t="e">
        <f>SUM(SUMIF(Org!$A$10:Org!$A$607,"0734",Org!#REF!:Org!#REF!),SUMIF(Org!$A$10:Org!$A$607,"0740",Org!#REF!:Org!#REF!),SUMIF(Org!$A$10:Org!$A$607,"0810",Org!#REF!:Org!#REF!),SUMIF(Org!$A$10:Org!$A$607,"0820",Org!#REF!:Org!#REF!),SUMIF(Org!$A$10:Org!$A$607,"0911",Org!#REF!:Org!#REF!),SUMIF(Org!$A$10:Org!$A$607,"0912",Org!#REF!:Org!#REF!),SUMIF(Org!$A$10:Org!$A$607,"0921",Org!#REF!:Org!#REF!),SUMIF(Org!$A$10:Org!$A$607,"0922",Org!#REF!:Org!#REF!),SUMIF(Org!$A$10:Org!$A$607,"0941",Org!#REF!:Org!#REF!),SUMIF(Org!$A$10:Org!$A$607,"1011",Org!#REF!:Org!#REF!),SUMIF(Org!$A$10:Org!$A$607,"1020",Org!#REF!:Org!#REF!),SUMIF(Org!$A$10:Org!$A$607,"1040",Org!#REF!:Org!#REF!))-'B.pr. i prim. za nef. im.'!#REF!</f>
        <v>#REF!</v>
      </c>
      <c r="D21" s="248">
        <f>SUM(SUMIF(Org!$A$10:Org!$A$607,"0734",Org!E$10:Org!E$607),SUMIF(Org!$A$10:Org!$A$607,"0721",Org!E$10:Org!E$607),SUMIF(Org!$A$10:Org!$A$607,"0740",Org!E$10:Org!E$607),SUMIF(Org!$A$10:Org!$A$607,"0810",Org!E$10:Org!E$607),SUMIF(Org!$A$10:Org!$A$607,"0820",Org!E$10:Org!E$607),SUMIF(Org!$A$10:Org!$A$607,"0911",Org!E$10:Org!E$607),SUMIF(Org!$A$10:Org!$A$607,"0912",Org!E$10:Org!E$607),SUMIF(Org!$A$10:Org!$A$607,"0921",Org!E$10:Org!E$607),SUMIF(Org!$A$10:Org!$A$607,"0922",Org!E$10:Org!E$607),SUMIF(Org!$A$10:Org!$A$607,"0941",Org!E$10:Org!E$607),SUMIF(Org!$A$10:Org!$A$607,"1011",Org!E$10:Org!E$607),SUMIF(Org!$A$10:Org!$A$607,"1020",Org!E$10:Org!E$607),SUMIF(Org!$A$10:Org!$A$607,"1040",Org!E$10:Org!E$607))-'B.pr. i prim. za nef. im.'!D114</f>
        <v>9896259.09</v>
      </c>
      <c r="E21" s="248">
        <f>SUM(SUMIF(Org!$A$10:Org!$A$607,"0734",Org!F$10:Org!F$607),SUMIF(Org!$A$10:Org!$A$607,"0721",Org!F$10:Org!F$607),SUMIF(Org!$A$10:Org!$A$607,"0740",Org!F$10:Org!F$607),SUMIF(Org!$A$10:Org!$A$607,"0810",Org!F$10:Org!F$607),SUMIF(Org!$A$10:Org!$A$607,"0820",Org!F$10:Org!F$607),SUMIF(Org!$A$10:Org!$A$607,"0911",Org!F$10:Org!F$607),SUMIF(Org!$A$10:Org!$A$607,"0912",Org!F$10:Org!F$607),SUMIF(Org!$A$10:Org!$A$607,"0921",Org!F$10:Org!F$607),SUMIF(Org!$A$10:Org!$A$607,"0922",Org!F$10:Org!F$607),SUMIF(Org!$A$10:Org!$A$607,"0941",Org!F$10:Org!F$607),SUMIF(Org!$A$10:Org!$A$607,"1011",Org!F$10:Org!F$607),SUMIF(Org!$A$10:Org!$A$607,"1020",Org!F$10:Org!F$607),SUMIF(Org!$A$10:Org!$A$607,"1040",Org!F$10:Org!F$607))-'B.pr. i prim. za nef. im.'!E114</f>
        <v>11013800</v>
      </c>
      <c r="F21" s="427">
        <f>E21/D21*100</f>
        <v>111.29255913610079</v>
      </c>
      <c r="G21" s="288">
        <f>E21/$E$22*100</f>
        <v>35.34714177673802</v>
      </c>
      <c r="H21" s="1"/>
    </row>
    <row r="22" spans="1:7" ht="20.25" customHeight="1" thickBot="1">
      <c r="A22" s="277"/>
      <c r="B22" s="278" t="s">
        <v>307</v>
      </c>
      <c r="C22" s="289" t="e">
        <f>SUM(C20:C21)</f>
        <v>#REF!</v>
      </c>
      <c r="D22" s="289">
        <f>SUM(D20:D21)</f>
        <v>28784077.679999996</v>
      </c>
      <c r="E22" s="289">
        <f>SUM(E20:E21)</f>
        <v>31158955</v>
      </c>
      <c r="F22" s="289">
        <f>E22/D22*100</f>
        <v>108.2506632534908</v>
      </c>
      <c r="G22" s="290">
        <f>E22/$E$22*100</f>
        <v>100</v>
      </c>
    </row>
    <row r="23" spans="1:7" ht="20.25" customHeight="1" thickTop="1">
      <c r="A23" s="19"/>
      <c r="B23" s="19"/>
      <c r="C23" s="19"/>
      <c r="D23" s="19"/>
      <c r="E23" s="19"/>
      <c r="F23" s="19"/>
      <c r="G23" s="19"/>
    </row>
    <row r="24" spans="1:7" ht="20.25" customHeight="1" hidden="1">
      <c r="A24" s="19"/>
      <c r="B24" s="27" t="s">
        <v>91</v>
      </c>
      <c r="C24" s="19"/>
      <c r="D24" s="27">
        <f>'opsti dio'!C35</f>
        <v>30000</v>
      </c>
      <c r="E24" s="27">
        <f>'opsti dio'!D35</f>
        <v>204500</v>
      </c>
      <c r="F24" s="19"/>
      <c r="G24" s="19"/>
    </row>
    <row r="25" spans="1:7" ht="16.5" customHeight="1" hidden="1">
      <c r="A25" s="19"/>
      <c r="B25" s="20" t="s">
        <v>675</v>
      </c>
      <c r="C25" s="27"/>
      <c r="D25" s="27">
        <f>'opsti dio'!C38</f>
        <v>737015.23</v>
      </c>
      <c r="E25" s="27">
        <f>'opsti dio'!D38</f>
        <v>345000</v>
      </c>
      <c r="F25" s="19"/>
      <c r="G25" s="19"/>
    </row>
    <row r="26" spans="4:5" ht="16.5" customHeight="1" hidden="1">
      <c r="D26" s="1"/>
      <c r="E26" s="1"/>
    </row>
    <row r="27" spans="4:5" ht="27" customHeight="1" hidden="1">
      <c r="D27" s="1"/>
      <c r="E27" s="1"/>
    </row>
    <row r="28" spans="2:5" ht="12.75" hidden="1">
      <c r="B28" s="430" t="s">
        <v>134</v>
      </c>
      <c r="D28" s="1">
        <f>'opsti dio'!C58</f>
        <v>1205000</v>
      </c>
      <c r="E28" s="1">
        <f>'opsti dio'!D58</f>
        <v>1445000</v>
      </c>
    </row>
    <row r="29" spans="2:5" ht="12.75" hidden="1">
      <c r="B29" s="430" t="s">
        <v>290</v>
      </c>
      <c r="D29" s="1">
        <f>'opsti dio'!C65</f>
        <v>643907.0900000001</v>
      </c>
      <c r="E29" s="1">
        <f>'opsti dio'!D65</f>
        <v>546545</v>
      </c>
    </row>
    <row r="30" spans="4:5" ht="20.25" customHeight="1" hidden="1">
      <c r="D30" s="1">
        <f>D22+D24+D25+D28+D29</f>
        <v>31399999.999999996</v>
      </c>
      <c r="E30" s="1">
        <f>E22+E24+E25+E28+E29</f>
        <v>33700000</v>
      </c>
    </row>
  </sheetData>
  <sheetProtection/>
  <mergeCells count="3">
    <mergeCell ref="A1:G1"/>
    <mergeCell ref="A2:B2"/>
    <mergeCell ref="A17:B17"/>
  </mergeCells>
  <printOptions horizontalCentered="1"/>
  <pageMargins left="0.15748031496062992" right="0.15748031496062992" top="0.5511811023622047" bottom="0.5118110236220472" header="0.5118110236220472" footer="0.31496062992125984"/>
  <pageSetup horizontalDpi="600" verticalDpi="600" orientation="landscape" paperSize="9" scale="110" r:id="rId1"/>
  <headerFooter alignWithMargins="0">
    <oddFooter>&amp;R&amp;P</oddFooter>
  </headerFooter>
  <rowBreaks count="1" manualBreakCount="1">
    <brk id="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User</cp:lastModifiedBy>
  <cp:lastPrinted>2023-12-28T06:34:10Z</cp:lastPrinted>
  <dcterms:created xsi:type="dcterms:W3CDTF">2006-03-15T13:27:57Z</dcterms:created>
  <dcterms:modified xsi:type="dcterms:W3CDTF">2023-12-28T06:36:50Z</dcterms:modified>
  <cp:category/>
  <cp:version/>
  <cp:contentType/>
  <cp:contentStatus/>
</cp:coreProperties>
</file>